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53222"/>
  <mc:AlternateContent xmlns:mc="http://schemas.openxmlformats.org/markup-compatibility/2006">
    <mc:Choice Requires="x15">
      <x15ac:absPath xmlns:x15ac="http://schemas.microsoft.com/office/spreadsheetml/2010/11/ac" url="C:\Users\sam.tessens\Desktop\"/>
    </mc:Choice>
  </mc:AlternateContent>
  <bookViews>
    <workbookView xWindow="0" yWindow="0" windowWidth="14370" windowHeight="11025" tabRatio="649"/>
  </bookViews>
  <sheets>
    <sheet name="Title" sheetId="6" r:id="rId1"/>
    <sheet name="Introduction" sheetId="7" r:id="rId2"/>
    <sheet name="Biogas yields" sheetId="9" r:id="rId3"/>
    <sheet name="Input data" sheetId="2" r:id="rId4"/>
    <sheet name="Operating numbers" sheetId="1" r:id="rId5"/>
    <sheet name="Results" sheetId="4" r:id="rId6"/>
    <sheet name="Graphics" sheetId="10" r:id="rId7"/>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6" i="4" l="1"/>
  <c r="L74" i="9"/>
  <c r="B104" i="4" l="1"/>
  <c r="B103" i="4"/>
  <c r="B102" i="4"/>
  <c r="B88" i="4"/>
  <c r="B85" i="4"/>
  <c r="B84" i="4"/>
  <c r="B83" i="4"/>
  <c r="B66" i="4"/>
  <c r="B47" i="4" l="1"/>
  <c r="B67" i="4"/>
  <c r="B35" i="2"/>
  <c r="C35" i="2" s="1"/>
  <c r="B68" i="4" l="1"/>
  <c r="B71" i="4" s="1"/>
  <c r="B38" i="4"/>
  <c r="N44" i="10" s="1"/>
  <c r="B7" i="4" l="1"/>
  <c r="B48" i="10" s="1"/>
  <c r="M59" i="9"/>
  <c r="O16" i="9"/>
  <c r="O17" i="9"/>
  <c r="O18" i="9"/>
  <c r="O19" i="9"/>
  <c r="O20" i="9"/>
  <c r="O21" i="9"/>
  <c r="O22" i="9"/>
  <c r="O23" i="9"/>
  <c r="O24" i="9"/>
  <c r="O25" i="9"/>
  <c r="O26" i="9"/>
  <c r="O27" i="9"/>
  <c r="O28" i="9"/>
  <c r="O29" i="9"/>
  <c r="O30" i="9"/>
  <c r="O31" i="9"/>
  <c r="O32" i="9"/>
  <c r="O33" i="9"/>
  <c r="O34" i="9"/>
  <c r="O35" i="9"/>
  <c r="O36" i="9"/>
  <c r="O37" i="9"/>
  <c r="O38" i="9"/>
  <c r="O39" i="9"/>
  <c r="O40" i="9"/>
  <c r="O41" i="9"/>
  <c r="O42" i="9"/>
  <c r="O43" i="9"/>
  <c r="O44" i="9"/>
  <c r="O45" i="9"/>
  <c r="O46" i="9"/>
  <c r="O47" i="9"/>
  <c r="O48" i="9"/>
  <c r="O49" i="9"/>
  <c r="O50" i="9"/>
  <c r="O51" i="9"/>
  <c r="O52" i="9"/>
  <c r="O53" i="9"/>
  <c r="O54" i="9"/>
  <c r="O55" i="9"/>
  <c r="O56" i="9"/>
  <c r="O57" i="9"/>
  <c r="O58" i="9"/>
  <c r="O59" i="9"/>
  <c r="O60" i="9"/>
  <c r="O61" i="9"/>
  <c r="O62" i="9"/>
  <c r="O15" i="9"/>
  <c r="N16" i="9"/>
  <c r="N17" i="9"/>
  <c r="N18" i="9"/>
  <c r="N19" i="9"/>
  <c r="N20" i="9"/>
  <c r="N21" i="9"/>
  <c r="N22" i="9"/>
  <c r="N23" i="9"/>
  <c r="N24" i="9"/>
  <c r="N25" i="9"/>
  <c r="N26" i="9"/>
  <c r="N27" i="9"/>
  <c r="N28" i="9"/>
  <c r="N29" i="9"/>
  <c r="N30" i="9"/>
  <c r="N31" i="9"/>
  <c r="N32" i="9"/>
  <c r="N33" i="9"/>
  <c r="N34" i="9"/>
  <c r="N35" i="9"/>
  <c r="N36" i="9"/>
  <c r="N37" i="9"/>
  <c r="N38" i="9"/>
  <c r="N39" i="9"/>
  <c r="N40" i="9"/>
  <c r="N41" i="9"/>
  <c r="N42" i="9"/>
  <c r="N43" i="9"/>
  <c r="N44" i="9"/>
  <c r="N45" i="9"/>
  <c r="N46" i="9"/>
  <c r="N47" i="9"/>
  <c r="N48" i="9"/>
  <c r="N49" i="9"/>
  <c r="N50" i="9"/>
  <c r="N51" i="9"/>
  <c r="N52" i="9"/>
  <c r="N53" i="9"/>
  <c r="N54" i="9"/>
  <c r="N55" i="9"/>
  <c r="N56" i="9"/>
  <c r="N57" i="9"/>
  <c r="N58" i="9"/>
  <c r="N59" i="9"/>
  <c r="N60" i="9"/>
  <c r="N61" i="9"/>
  <c r="N62" i="9"/>
  <c r="N15" i="9"/>
  <c r="L37" i="9"/>
  <c r="M37" i="9" s="1"/>
  <c r="L38" i="9"/>
  <c r="M38" i="9" s="1"/>
  <c r="L39" i="9"/>
  <c r="M39" i="9" s="1"/>
  <c r="L40" i="9"/>
  <c r="M40" i="9" s="1"/>
  <c r="L58" i="9"/>
  <c r="M58" i="9" s="1"/>
  <c r="L59" i="9"/>
  <c r="L60" i="9"/>
  <c r="M60" i="9" s="1"/>
  <c r="L61" i="9"/>
  <c r="M61" i="9" s="1"/>
  <c r="L62" i="9"/>
  <c r="M62" i="9" s="1"/>
  <c r="L57" i="9"/>
  <c r="M57" i="9" s="1"/>
  <c r="L56" i="9"/>
  <c r="M56" i="9" s="1"/>
  <c r="L55" i="9"/>
  <c r="M55" i="9" s="1"/>
  <c r="L54" i="9"/>
  <c r="M54" i="9" s="1"/>
  <c r="L53" i="9"/>
  <c r="M53" i="9" s="1"/>
  <c r="L52" i="9"/>
  <c r="M52" i="9" s="1"/>
  <c r="L51" i="9"/>
  <c r="M51" i="9" s="1"/>
  <c r="L50" i="9"/>
  <c r="M50" i="9" s="1"/>
  <c r="L49" i="9"/>
  <c r="M49" i="9" s="1"/>
  <c r="L48" i="9"/>
  <c r="M48" i="9" s="1"/>
  <c r="L47" i="9"/>
  <c r="M47" i="9" s="1"/>
  <c r="L46" i="9"/>
  <c r="M46" i="9" s="1"/>
  <c r="L45" i="9"/>
  <c r="M45" i="9" s="1"/>
  <c r="L44" i="9"/>
  <c r="M44" i="9" s="1"/>
  <c r="L43" i="9"/>
  <c r="M43" i="9" s="1"/>
  <c r="L42" i="9"/>
  <c r="M42" i="9" s="1"/>
  <c r="L41" i="9"/>
  <c r="M41" i="9" s="1"/>
  <c r="L36" i="9"/>
  <c r="M36" i="9" s="1"/>
  <c r="L35" i="9"/>
  <c r="M35" i="9" s="1"/>
  <c r="L34" i="9"/>
  <c r="M34" i="9" s="1"/>
  <c r="L33" i="9"/>
  <c r="M33" i="9" s="1"/>
  <c r="L32" i="9"/>
  <c r="M32" i="9" s="1"/>
  <c r="L31" i="9"/>
  <c r="M31" i="9" s="1"/>
  <c r="L30" i="9"/>
  <c r="M30" i="9" s="1"/>
  <c r="L29" i="9"/>
  <c r="M29" i="9" s="1"/>
  <c r="L28" i="9"/>
  <c r="M28" i="9" s="1"/>
  <c r="L27" i="9"/>
  <c r="M27" i="9" s="1"/>
  <c r="L26" i="9"/>
  <c r="M26" i="9" s="1"/>
  <c r="L25" i="9"/>
  <c r="M25" i="9" s="1"/>
  <c r="L24" i="9"/>
  <c r="M24" i="9" s="1"/>
  <c r="L23" i="9"/>
  <c r="M23" i="9" s="1"/>
  <c r="L22" i="9"/>
  <c r="M22" i="9" s="1"/>
  <c r="L21" i="9"/>
  <c r="M21" i="9" s="1"/>
  <c r="L20" i="9"/>
  <c r="M20" i="9" s="1"/>
  <c r="L19" i="9"/>
  <c r="M19" i="9" s="1"/>
  <c r="L18" i="9"/>
  <c r="M18" i="9" s="1"/>
  <c r="L17" i="9"/>
  <c r="M17" i="9" s="1"/>
  <c r="L16" i="9"/>
  <c r="M16" i="9" s="1"/>
  <c r="L15" i="9"/>
  <c r="L70" i="9" l="1"/>
  <c r="B8" i="4" s="1"/>
  <c r="H48" i="10" s="1"/>
  <c r="L72" i="9"/>
  <c r="B22" i="4" s="1"/>
  <c r="L73" i="9"/>
  <c r="B28" i="4" s="1"/>
  <c r="M15" i="9"/>
  <c r="L71" i="9" s="1"/>
  <c r="B9" i="4" s="1"/>
  <c r="B18" i="4"/>
  <c r="F87" i="1" l="1"/>
  <c r="D87" i="1"/>
  <c r="E87" i="1"/>
  <c r="C87" i="1"/>
  <c r="C106" i="1"/>
  <c r="D79" i="1"/>
  <c r="D91" i="1" s="1"/>
  <c r="D92" i="1" s="1"/>
  <c r="E79" i="1"/>
  <c r="E93" i="1" s="1"/>
  <c r="E94" i="1" s="1"/>
  <c r="F79" i="1"/>
  <c r="F95" i="1" s="1"/>
  <c r="F96" i="1" s="1"/>
  <c r="C79" i="1"/>
  <c r="C89" i="1" s="1"/>
  <c r="C90" i="1" s="1"/>
  <c r="F80" i="1" l="1"/>
  <c r="F93" i="1"/>
  <c r="F94" i="1" s="1"/>
  <c r="D89" i="1"/>
  <c r="D90" i="1" s="1"/>
  <c r="C80" i="1"/>
  <c r="F89" i="1"/>
  <c r="F90" i="1" s="1"/>
  <c r="E80" i="1"/>
  <c r="D93" i="1"/>
  <c r="D94" i="1" s="1"/>
  <c r="D80" i="1"/>
  <c r="C95" i="1"/>
  <c r="C96" i="1" s="1"/>
  <c r="E95" i="1"/>
  <c r="E96" i="1" s="1"/>
  <c r="C93" i="1"/>
  <c r="C94" i="1" s="1"/>
  <c r="E89" i="1"/>
  <c r="E90" i="1" s="1"/>
  <c r="D95" i="1"/>
  <c r="D96" i="1" s="1"/>
  <c r="F91" i="1"/>
  <c r="F92" i="1" s="1"/>
  <c r="C91" i="1"/>
  <c r="C92" i="1" s="1"/>
  <c r="E91" i="1"/>
  <c r="E92" i="1" s="1"/>
  <c r="B105" i="4" l="1"/>
  <c r="B108" i="4" s="1"/>
  <c r="B39" i="4"/>
  <c r="B86" i="4" l="1"/>
  <c r="B90" i="4" s="1"/>
  <c r="B52" i="4" l="1"/>
  <c r="J54" i="1"/>
  <c r="K54" i="1"/>
  <c r="L54" i="1"/>
  <c r="M54" i="1"/>
  <c r="N54" i="1"/>
  <c r="O54" i="1"/>
  <c r="J52" i="1"/>
  <c r="K52" i="1"/>
  <c r="L52" i="1"/>
  <c r="M52" i="1"/>
  <c r="N52" i="1"/>
  <c r="O52" i="1"/>
  <c r="J49" i="1"/>
  <c r="K49" i="1"/>
  <c r="L49" i="1"/>
  <c r="M49" i="1"/>
  <c r="N49" i="1"/>
  <c r="O49" i="1"/>
  <c r="J47" i="1"/>
  <c r="K47" i="1"/>
  <c r="L47" i="1"/>
  <c r="M47" i="1"/>
  <c r="N47" i="1"/>
  <c r="O47" i="1"/>
  <c r="J44" i="1"/>
  <c r="K44" i="1"/>
  <c r="L44" i="1"/>
  <c r="M44" i="1"/>
  <c r="N44" i="1"/>
  <c r="O44" i="1"/>
  <c r="J42" i="1"/>
  <c r="K42" i="1"/>
  <c r="L42" i="1"/>
  <c r="M42" i="1"/>
  <c r="N42" i="1"/>
  <c r="O42" i="1"/>
  <c r="J39" i="1"/>
  <c r="K39" i="1"/>
  <c r="L39" i="1"/>
  <c r="M39" i="1"/>
  <c r="N39" i="1"/>
  <c r="O39" i="1"/>
  <c r="J37" i="1"/>
  <c r="K37" i="1"/>
  <c r="L37" i="1"/>
  <c r="M37" i="1"/>
  <c r="N37" i="1"/>
  <c r="O37" i="1"/>
  <c r="B40" i="4" l="1"/>
  <c r="B41" i="4"/>
  <c r="D54" i="1"/>
  <c r="E54" i="1"/>
  <c r="F54" i="1"/>
  <c r="G54" i="1"/>
  <c r="H54" i="1"/>
  <c r="I54" i="1"/>
  <c r="C54" i="1"/>
  <c r="D52" i="1"/>
  <c r="E52" i="1"/>
  <c r="F52" i="1"/>
  <c r="G52" i="1"/>
  <c r="H52" i="1"/>
  <c r="I52" i="1"/>
  <c r="C52" i="1"/>
  <c r="D49" i="1"/>
  <c r="E49" i="1"/>
  <c r="F49" i="1"/>
  <c r="G49" i="1"/>
  <c r="H49" i="1"/>
  <c r="I49" i="1"/>
  <c r="C49" i="1"/>
  <c r="I47" i="1"/>
  <c r="D47" i="1"/>
  <c r="E47" i="1"/>
  <c r="F47" i="1"/>
  <c r="G47" i="1"/>
  <c r="H47" i="1"/>
  <c r="C47" i="1"/>
  <c r="D44" i="1"/>
  <c r="E44" i="1"/>
  <c r="F44" i="1"/>
  <c r="G44" i="1"/>
  <c r="H44" i="1"/>
  <c r="I44" i="1"/>
  <c r="C44" i="1"/>
  <c r="D42" i="1"/>
  <c r="E42" i="1"/>
  <c r="F42" i="1"/>
  <c r="G42" i="1"/>
  <c r="H42" i="1"/>
  <c r="I42" i="1"/>
  <c r="C42" i="1"/>
  <c r="D39" i="1"/>
  <c r="E39" i="1"/>
  <c r="F39" i="1"/>
  <c r="G39" i="1"/>
  <c r="H39" i="1"/>
  <c r="I39" i="1"/>
  <c r="C39" i="1"/>
  <c r="D37" i="1"/>
  <c r="E37" i="1"/>
  <c r="F37" i="1"/>
  <c r="G37" i="1"/>
  <c r="H37" i="1"/>
  <c r="I37" i="1"/>
  <c r="C37" i="1"/>
  <c r="D19" i="1"/>
  <c r="E19" i="1"/>
  <c r="F19" i="1"/>
  <c r="G19" i="1"/>
  <c r="H19" i="1"/>
  <c r="I19" i="1"/>
  <c r="J19" i="1"/>
  <c r="C19" i="1"/>
  <c r="D16" i="1"/>
  <c r="E16" i="1"/>
  <c r="F16" i="1"/>
  <c r="G16" i="1"/>
  <c r="H16" i="1"/>
  <c r="I16" i="1"/>
  <c r="J16" i="1"/>
  <c r="C16" i="1"/>
  <c r="L47" i="10" l="1"/>
  <c r="L48" i="10" s="1"/>
  <c r="B51" i="4"/>
  <c r="B46" i="4"/>
  <c r="B48" i="4" s="1"/>
  <c r="B50" i="4" s="1"/>
  <c r="J55" i="10"/>
  <c r="H47" i="10"/>
  <c r="B11" i="4"/>
  <c r="B12" i="4" s="1"/>
  <c r="B10" i="4"/>
  <c r="B24" i="4" l="1"/>
  <c r="B23" i="4"/>
  <c r="B21" i="4"/>
  <c r="K45" i="10"/>
  <c r="J56" i="10"/>
  <c r="K51" i="10"/>
  <c r="B53" i="4"/>
  <c r="B15" i="4"/>
  <c r="B17" i="4" s="1"/>
  <c r="B42" i="4"/>
  <c r="B19" i="4" l="1"/>
  <c r="B25" i="4" s="1"/>
  <c r="B26" i="4" s="1"/>
  <c r="B43" i="4"/>
  <c r="B89" i="4" s="1"/>
  <c r="R47" i="10"/>
  <c r="B61" i="2" l="1"/>
  <c r="B99" i="4"/>
  <c r="W54" i="10" s="1"/>
  <c r="B80" i="4"/>
  <c r="W48" i="10" s="1"/>
  <c r="B61" i="4"/>
  <c r="W42" i="10" s="1"/>
  <c r="O55" i="10"/>
  <c r="P51" i="10" s="1"/>
  <c r="Q45" i="10"/>
  <c r="B91" i="4"/>
  <c r="R48" i="10"/>
  <c r="O56" i="10" s="1"/>
  <c r="B30" i="4"/>
  <c r="B32" i="4" s="1"/>
  <c r="B33" i="4" l="1"/>
  <c r="B55" i="4"/>
  <c r="B93" i="4" s="1"/>
  <c r="B94" i="4" s="1"/>
  <c r="B107" i="4"/>
  <c r="B109" i="4" s="1"/>
  <c r="T45" i="10"/>
  <c r="T50" i="10"/>
  <c r="T40" i="10"/>
  <c r="B62" i="4"/>
  <c r="B63" i="4" s="1"/>
  <c r="B70" i="4" s="1"/>
  <c r="B111" i="4" l="1"/>
  <c r="B112" i="4" s="1"/>
  <c r="B72" i="4"/>
  <c r="B74" i="4" s="1"/>
  <c r="B75" i="4" s="1"/>
  <c r="B56" i="4"/>
</calcChain>
</file>

<file path=xl/comments1.xml><?xml version="1.0" encoding="utf-8"?>
<comments xmlns="http://schemas.openxmlformats.org/spreadsheetml/2006/main">
  <authors>
    <author>pnovakovits</author>
  </authors>
  <commentList>
    <comment ref="A18" authorId="0" shapeId="0">
      <text>
        <r>
          <rPr>
            <b/>
            <sz val="9"/>
            <color indexed="81"/>
            <rFont val="Segoe UI"/>
            <family val="2"/>
          </rPr>
          <t>pnovakovits:</t>
        </r>
        <r>
          <rPr>
            <sz val="9"/>
            <color indexed="81"/>
            <rFont val="Segoe UI"/>
            <family val="2"/>
          </rPr>
          <t xml:space="preserve">
The methane content of upgraded biogas depends to a high degree on the upgrading technology and the operation of this process. In some cases the methane content after upgrading might not meet the conditions set by law in certain countries for some ways of utilization, for example grid injection. In this cases it might be necessary to adjust the caloric value of the gas through the addition of LNG (liquified natural gas). If you expect/know that the biomethane in your case will not meet the prevailing requirements, you should choose this option.</t>
        </r>
      </text>
    </comment>
    <comment ref="A62" authorId="0" shapeId="0">
      <text>
        <r>
          <rPr>
            <b/>
            <sz val="9"/>
            <color indexed="81"/>
            <rFont val="Segoe UI"/>
            <family val="2"/>
          </rPr>
          <t>pnovakovits:</t>
        </r>
        <r>
          <rPr>
            <sz val="9"/>
            <color indexed="81"/>
            <rFont val="Segoe UI"/>
            <family val="2"/>
          </rPr>
          <t xml:space="preserve">
If the CNG filling station is supplied with gas from a natural gas pipeline, please fill in the distance from the filling station to the pipeline.
If the CNG filling station is directly supplied with gas from the gas upgrading facility, please fill in the distance from the filling station to the upgrading facility.</t>
        </r>
      </text>
    </comment>
  </commentList>
</comments>
</file>

<file path=xl/sharedStrings.xml><?xml version="1.0" encoding="utf-8"?>
<sst xmlns="http://schemas.openxmlformats.org/spreadsheetml/2006/main" count="682" uniqueCount="436">
  <si>
    <t>[%]</t>
  </si>
  <si>
    <t>[1]</t>
  </si>
  <si>
    <t>[2]</t>
  </si>
  <si>
    <t>[3]</t>
  </si>
  <si>
    <t>Fachagentur Nachwachsende Rohstoffe e.V. 2006. Handreichung Biogasgewinnung und -nutzung. Gülzow: FNR.</t>
  </si>
  <si>
    <t>Fachagentur Nachwachsende Rohstoffe e.V. 2013. Leitfaden Biogas. Von der Gewinnung zur Nutzung. Gülzow: FNR.</t>
  </si>
  <si>
    <t>(1)</t>
  </si>
  <si>
    <t>(2)</t>
  </si>
  <si>
    <t>Technische Universität Wien 2013. Biomethane calculator. http://bio.methan.at/de/download_biomethane-calculator</t>
  </si>
  <si>
    <t>[4]</t>
  </si>
  <si>
    <t>Hinterberger, R. 2011. Biogas als Treibstoff: Wirtschaftliche Grundlagen und Machbarkeit. Berichte aus Energie- und Umweltforschung. Wien: BMVIT.</t>
  </si>
  <si>
    <t>[5]</t>
  </si>
  <si>
    <t>Ramesohl, S. et al. 2005. Analyse und Bewertung der Nutzungsmöglichkeiten von Biomasse. Band 3. Wuppertal: Fraunhofer Institut Umsicht.</t>
  </si>
  <si>
    <t>[bar]</t>
  </si>
  <si>
    <t>[6]</t>
  </si>
  <si>
    <t>Theißing, M. et al. 2006. Biogas. Einspeisung und Systemintegration in bestehende Gasnetze. Berichte aus Energie- und Umweltforschung. Wien: BMVIT.</t>
  </si>
  <si>
    <t>[€/a]</t>
  </si>
  <si>
    <t>[MWh/a]</t>
  </si>
  <si>
    <t>[€]</t>
  </si>
  <si>
    <t>[7]</t>
  </si>
  <si>
    <t>(3)</t>
  </si>
  <si>
    <t>[h/a]</t>
  </si>
  <si>
    <r>
      <t>[kW</t>
    </r>
    <r>
      <rPr>
        <vertAlign val="subscript"/>
        <sz val="11"/>
        <color theme="1"/>
        <rFont val="Calibri"/>
        <family val="2"/>
        <scheme val="minor"/>
      </rPr>
      <t>el</t>
    </r>
    <r>
      <rPr>
        <sz val="11"/>
        <color theme="1"/>
        <rFont val="Calibri"/>
        <family val="2"/>
        <scheme val="minor"/>
      </rPr>
      <t>]</t>
    </r>
  </si>
  <si>
    <t>[€/MWh]</t>
  </si>
  <si>
    <t>0,5 km</t>
  </si>
  <si>
    <t>1 km</t>
  </si>
  <si>
    <t>3 km</t>
  </si>
  <si>
    <t>5 km</t>
  </si>
  <si>
    <t>[8]</t>
  </si>
  <si>
    <t>Hornbacher, D. et al. 2009. Wirtschaftliche Chancen der Biogasversorgung netzferner Gas-Tankstellen gegenüber konventioneller Erdgas-Versorgung. Berichte aus Energie- und Umweltforschung. Wien: BMVIT.</t>
  </si>
  <si>
    <t>Biogas Production</t>
  </si>
  <si>
    <t>Manure</t>
  </si>
  <si>
    <t>Whole crop silage</t>
  </si>
  <si>
    <t>Cereal grains</t>
  </si>
  <si>
    <t>General</t>
  </si>
  <si>
    <t>share of raw biogas, which will be upgraded [%]</t>
  </si>
  <si>
    <t>Selection of upgrading technology used</t>
  </si>
  <si>
    <t>Pressure swing adsorption</t>
  </si>
  <si>
    <t>Pressurized water scrubbing</t>
  </si>
  <si>
    <t>Amine scrubbing</t>
  </si>
  <si>
    <t>Membrane separation</t>
  </si>
  <si>
    <t>Upgrading of biogas</t>
  </si>
  <si>
    <t>Y</t>
  </si>
  <si>
    <t>Grid Injection</t>
  </si>
  <si>
    <t>Upgrading Of Biogas</t>
  </si>
  <si>
    <t>distance to gas grid [m]</t>
  </si>
  <si>
    <t>Economic Conditions</t>
  </si>
  <si>
    <t>plant I</t>
  </si>
  <si>
    <t>plant II</t>
  </si>
  <si>
    <t>plant III</t>
  </si>
  <si>
    <t>plant IV</t>
  </si>
  <si>
    <t>plant V</t>
  </si>
  <si>
    <t>plant VI</t>
  </si>
  <si>
    <t>plant VII</t>
  </si>
  <si>
    <t>plant VIII</t>
  </si>
  <si>
    <t>reference</t>
  </si>
  <si>
    <t>model plant</t>
  </si>
  <si>
    <r>
      <t>electric capacity [kW</t>
    </r>
    <r>
      <rPr>
        <vertAlign val="subscript"/>
        <sz val="11"/>
        <color theme="1"/>
        <rFont val="Calibri"/>
        <family val="2"/>
        <scheme val="minor"/>
      </rPr>
      <t>el</t>
    </r>
    <r>
      <rPr>
        <sz val="11"/>
        <color theme="1"/>
        <rFont val="Calibri"/>
        <family val="2"/>
        <scheme val="minor"/>
      </rPr>
      <t>]</t>
    </r>
  </si>
  <si>
    <r>
      <t>investment costs</t>
    </r>
    <r>
      <rPr>
        <vertAlign val="superscript"/>
        <sz val="11"/>
        <color theme="1"/>
        <rFont val="Calibri"/>
        <family val="2"/>
        <scheme val="minor"/>
      </rPr>
      <t>(1)</t>
    </r>
    <r>
      <rPr>
        <sz val="11"/>
        <color theme="1"/>
        <rFont val="Calibri"/>
        <family val="2"/>
        <scheme val="minor"/>
      </rPr>
      <t xml:space="preserve"> [€]</t>
    </r>
  </si>
  <si>
    <r>
      <t>specific investment costs [€/kW</t>
    </r>
    <r>
      <rPr>
        <vertAlign val="subscript"/>
        <sz val="11"/>
        <color theme="1"/>
        <rFont val="Calibri"/>
        <family val="2"/>
        <scheme val="minor"/>
      </rPr>
      <t>el</t>
    </r>
    <r>
      <rPr>
        <sz val="11"/>
        <color theme="1"/>
        <rFont val="Calibri"/>
        <family val="2"/>
        <scheme val="minor"/>
      </rPr>
      <t>]</t>
    </r>
  </si>
  <si>
    <t>other costs of biogas plant</t>
  </si>
  <si>
    <t>insurance [€/a]</t>
  </si>
  <si>
    <t>labor costs [€/a]</t>
  </si>
  <si>
    <t>Capacity of upgrading plant</t>
  </si>
  <si>
    <t>investment costs [€]</t>
  </si>
  <si>
    <t>investment costs of transfer/injection station [€]</t>
  </si>
  <si>
    <t>maintenance and service [€]</t>
  </si>
  <si>
    <t>insurance [€]</t>
  </si>
  <si>
    <r>
      <t>electricity costs</t>
    </r>
    <r>
      <rPr>
        <vertAlign val="superscript"/>
        <sz val="11"/>
        <color theme="1"/>
        <rFont val="Calibri"/>
        <family val="2"/>
        <scheme val="minor"/>
      </rPr>
      <t>(3)</t>
    </r>
    <r>
      <rPr>
        <sz val="11"/>
        <color theme="1"/>
        <rFont val="Calibri"/>
        <family val="2"/>
        <scheme val="minor"/>
      </rPr>
      <t xml:space="preserve"> [€]</t>
    </r>
  </si>
  <si>
    <t>capacity of compressor</t>
  </si>
  <si>
    <t>compression unit [€]</t>
  </si>
  <si>
    <t>gas storage [€]</t>
  </si>
  <si>
    <t>other costs (building, connections, sales &amp; billing, …) [€]</t>
  </si>
  <si>
    <t>Total investment costs</t>
  </si>
  <si>
    <t>Costs for gas pipeline</t>
  </si>
  <si>
    <t>specific [€/km]</t>
  </si>
  <si>
    <t>Total investment costs (0,5 km) [€]</t>
  </si>
  <si>
    <t>Total investment costs (1 km) [€]</t>
  </si>
  <si>
    <t>Total investment costs (3 km) [€]</t>
  </si>
  <si>
    <t>Total investment costs (5 km) [€]</t>
  </si>
  <si>
    <t>Calculation Variables And Assumptions</t>
  </si>
  <si>
    <t>Material properties</t>
  </si>
  <si>
    <t>Assumptions biogas plant</t>
  </si>
  <si>
    <t>full-load hours [h/a]</t>
  </si>
  <si>
    <t>efficiency electricity production [%]</t>
  </si>
  <si>
    <t>residual value after depreciation [%]</t>
  </si>
  <si>
    <t>leasing interest rate [%]</t>
  </si>
  <si>
    <t>Assumptions biogas upgrading</t>
  </si>
  <si>
    <t>operating life [a]</t>
  </si>
  <si>
    <t>Assumptions grid injection</t>
  </si>
  <si>
    <t>Assumptions CNG filling station</t>
  </si>
  <si>
    <t>References</t>
  </si>
  <si>
    <t>Annotations</t>
  </si>
  <si>
    <t>investment costs don't include gas utilization (cogeneration unit), but include storage of substrate, logistics, input of material, digester, storage of manure, planning, concession, startup operations, property costs, infrastructure provision, building of roads</t>
  </si>
  <si>
    <t>excluding electricity costs for gas compression</t>
  </si>
  <si>
    <t>Biogas production</t>
  </si>
  <si>
    <t>annual biogas production</t>
  </si>
  <si>
    <t>annual methane production</t>
  </si>
  <si>
    <t>average methane content</t>
  </si>
  <si>
    <t>caloric value of biogas (lower heating value)</t>
  </si>
  <si>
    <t>[m³/a]</t>
  </si>
  <si>
    <t>Costs of biogas production</t>
  </si>
  <si>
    <t>investment costs</t>
  </si>
  <si>
    <t>input of fresh mass</t>
  </si>
  <si>
    <t>total investment costs</t>
  </si>
  <si>
    <t>insurance</t>
  </si>
  <si>
    <t>labour costs</t>
  </si>
  <si>
    <t>leasing costs</t>
  </si>
  <si>
    <r>
      <t>operating costs</t>
    </r>
    <r>
      <rPr>
        <vertAlign val="superscript"/>
        <sz val="11"/>
        <color theme="1"/>
        <rFont val="Calibri"/>
        <family val="2"/>
        <scheme val="minor"/>
      </rPr>
      <t>(2)</t>
    </r>
    <r>
      <rPr>
        <sz val="11"/>
        <color theme="1"/>
        <rFont val="Calibri"/>
        <family val="2"/>
        <scheme val="minor"/>
      </rPr>
      <t xml:space="preserve"> [€/a]</t>
    </r>
  </si>
  <si>
    <t>operating costs of biogas plant</t>
  </si>
  <si>
    <r>
      <t>specific operating costs [€/a*kW</t>
    </r>
    <r>
      <rPr>
        <vertAlign val="subscript"/>
        <sz val="11"/>
        <color theme="1"/>
        <rFont val="Calibri"/>
        <family val="2"/>
        <scheme val="minor"/>
      </rPr>
      <t>el</t>
    </r>
    <r>
      <rPr>
        <sz val="11"/>
        <color theme="1"/>
        <rFont val="Calibri"/>
        <family val="2"/>
        <scheme val="minor"/>
      </rPr>
      <t>]</t>
    </r>
  </si>
  <si>
    <t>operating costs [€/a]</t>
  </si>
  <si>
    <t>Cost position</t>
  </si>
  <si>
    <t>Operating costs</t>
  </si>
  <si>
    <t>maintenance and other operating costs [€/a]</t>
  </si>
  <si>
    <t>operating costs include operating materials, costs for maintenance and service, costs for lab analysis</t>
  </si>
  <si>
    <t>operating costs</t>
  </si>
  <si>
    <t>full-load hours</t>
  </si>
  <si>
    <t>gross raw biogas flow</t>
  </si>
  <si>
    <t>selected upgrading technology</t>
  </si>
  <si>
    <t>biomethane flow</t>
  </si>
  <si>
    <t>annual amount of biomethane produced</t>
  </si>
  <si>
    <t>operating costs (excl. LNG)</t>
  </si>
  <si>
    <t>costs for adjustment of caloric value (LNG)</t>
  </si>
  <si>
    <t>Grid injection</t>
  </si>
  <si>
    <t>CNG filling station</t>
  </si>
  <si>
    <t>investment costs of gas pipeline</t>
  </si>
  <si>
    <t>investment costs of transfer/injection station</t>
  </si>
  <si>
    <t>operating costs of transfer/injection station (excl. compression)</t>
  </si>
  <si>
    <t>costs for gas compression</t>
  </si>
  <si>
    <t>investment costs of filling station</t>
  </si>
  <si>
    <t>operating costs of filling station</t>
  </si>
  <si>
    <t>Version:</t>
  </si>
  <si>
    <t xml:space="preserve">Developed by: </t>
  </si>
  <si>
    <t xml:space="preserve">Authors: </t>
  </si>
  <si>
    <t xml:space="preserve">Contributors: </t>
  </si>
  <si>
    <t>Contact:</t>
  </si>
  <si>
    <t>Website:</t>
  </si>
  <si>
    <t>www.bin2grid.eu</t>
  </si>
  <si>
    <t>This project has received funding from the European Union’s Horizon 2020 research and innovation programme under grant agreement No 646560.</t>
  </si>
  <si>
    <t xml:space="preserve">This tool reflects only the author’s view and the European Commission is not responsible for any use that may be made of the information it contains. </t>
  </si>
  <si>
    <t>WP 6 – Task 6.2 / D 6.2</t>
  </si>
  <si>
    <t>Biomethane Tool for economic analysis of biogas production,</t>
  </si>
  <si>
    <t>gas upgrading and utilization of biomethane</t>
  </si>
  <si>
    <t>Güssing Energy Technologies GmbH, Austria</t>
  </si>
  <si>
    <t xml:space="preserve">Guessing Energy Technologies GmbH
Philipp Novakovits
Wiener Strasse 49
A-7540 Guessing
Austria
+43-3322-42606 321
p.novakovits@get.ac.at
www.get.ac.at
</t>
  </si>
  <si>
    <t>Introduction</t>
  </si>
  <si>
    <t>Objectives</t>
  </si>
  <si>
    <t>Limitations</t>
  </si>
  <si>
    <t>Modifications and Transparency of the calculations</t>
  </si>
  <si>
    <t>How to use the tool</t>
  </si>
  <si>
    <t>The colours of the cells have the following meaning:</t>
  </si>
  <si>
    <t>Orange cells = automatically filled cells with calculations</t>
  </si>
  <si>
    <t>Things to consider</t>
  </si>
  <si>
    <t>o Include the input data as accurate as possible and as updated as possible</t>
  </si>
  <si>
    <t>Reference</t>
  </si>
  <si>
    <t>You are kindly invited to publish your results widely. For using the tool, even if it is in a modified version, please make the following reference:</t>
  </si>
  <si>
    <t>Philipp Novakovits, Christian Doczekal</t>
  </si>
  <si>
    <t>Novakovits, P. &amp; Doczekal, C. (2016) "Biomethane tool for economic analysis of biogas production, gas upgrading and utilization of biomethane". - Excel calculation tool developed under the Bin2Grid Project supported in the Horizon2020 Programme of the European Commission; Guessing Energy Technologies GmbH; Guessing, Austria</t>
  </si>
  <si>
    <t>Biogas yields</t>
  </si>
  <si>
    <t xml:space="preserve">Here, you can calculate the biogas and the biomethane potential precisely for the spreadsheet "Input data". </t>
  </si>
  <si>
    <r>
      <rPr>
        <b/>
        <sz val="11"/>
        <color theme="1"/>
        <rFont val="Calibri"/>
        <family val="2"/>
        <scheme val="minor"/>
      </rPr>
      <t>Please note</t>
    </r>
    <r>
      <rPr>
        <sz val="11"/>
        <color theme="1"/>
        <rFont val="Calibri"/>
        <family val="2"/>
        <scheme val="minor"/>
      </rPr>
      <t>: default values in the literature can vary very much. You may include default values of own research.</t>
    </r>
  </si>
  <si>
    <t xml:space="preserve">The default values here are mainly taken from the Bin2Grid report:
</t>
  </si>
  <si>
    <t>Ribić B. (2015) Catalogue of food waste types and energy potential. – Zagreb Holding, Croatia; Report by the Bin2Grid Project; www.bin2grid.eu</t>
  </si>
  <si>
    <t>However, some values (*) were modified.</t>
  </si>
  <si>
    <t>Default values</t>
  </si>
  <si>
    <t>Actual values</t>
  </si>
  <si>
    <t>Waste category</t>
  </si>
  <si>
    <t>Substrates</t>
  </si>
  <si>
    <t>Dry matter</t>
  </si>
  <si>
    <t>Biogas yield</t>
  </si>
  <si>
    <t xml:space="preserve">Methane </t>
  </si>
  <si>
    <t>Waste from the food industry</t>
  </si>
  <si>
    <t>Mash from fruits</t>
  </si>
  <si>
    <t>3-5</t>
  </si>
  <si>
    <t>250 - 540</t>
  </si>
  <si>
    <t>Mash from distillations</t>
  </si>
  <si>
    <t>3-8</t>
  </si>
  <si>
    <t>400 - 450</t>
  </si>
  <si>
    <t>Cereal mash</t>
  </si>
  <si>
    <t>5-8</t>
  </si>
  <si>
    <t>80 - 100</t>
  </si>
  <si>
    <t>Potato mash, potato pulp</t>
  </si>
  <si>
    <t>5-16</t>
  </si>
  <si>
    <t>250 - 800</t>
  </si>
  <si>
    <t>Potato pulp dried</t>
  </si>
  <si>
    <t>500 - 600</t>
  </si>
  <si>
    <t>Oilseed residuals, pressed</t>
  </si>
  <si>
    <t>420 - 720</t>
  </si>
  <si>
    <t>Wheat flour</t>
  </si>
  <si>
    <t>Malt germ</t>
  </si>
  <si>
    <t>Baking waste</t>
  </si>
  <si>
    <t>60 - 80</t>
  </si>
  <si>
    <t>400 - 500</t>
  </si>
  <si>
    <t>Whey</t>
  </si>
  <si>
    <t>4-6</t>
  </si>
  <si>
    <t>50 - 140</t>
  </si>
  <si>
    <t>Skimmed milk, dry</t>
  </si>
  <si>
    <t>400 - 520</t>
  </si>
  <si>
    <t>Cheese</t>
  </si>
  <si>
    <t>Waste from beverage industry</t>
  </si>
  <si>
    <t>Grains</t>
  </si>
  <si>
    <t>20 - 25</t>
  </si>
  <si>
    <t>180 - 300</t>
  </si>
  <si>
    <t>Grains, dry</t>
  </si>
  <si>
    <t>Apples</t>
  </si>
  <si>
    <t>22 - 40</t>
  </si>
  <si>
    <t>420 - 510</t>
  </si>
  <si>
    <t>Apple mash</t>
  </si>
  <si>
    <t>2-5</t>
  </si>
  <si>
    <t>Fruits, mixed</t>
  </si>
  <si>
    <t>25 - 45</t>
  </si>
  <si>
    <t>400 - 650</t>
  </si>
  <si>
    <t>Vinasse from alcohol prod.</t>
  </si>
  <si>
    <t>8-12</t>
  </si>
  <si>
    <t>Vegetables, greens, grass</t>
  </si>
  <si>
    <t>Mixed vegetable waste</t>
  </si>
  <si>
    <t>5-20</t>
  </si>
  <si>
    <t>300 - 400</t>
  </si>
  <si>
    <t>Leaves</t>
  </si>
  <si>
    <t>75 - 90</t>
  </si>
  <si>
    <t>10 - 20</t>
  </si>
  <si>
    <t>Greens (fresh)</t>
  </si>
  <si>
    <t>40 - 80</t>
  </si>
  <si>
    <t>Grass silage</t>
  </si>
  <si>
    <t>22 - 36</t>
  </si>
  <si>
    <t>320 - 420</t>
  </si>
  <si>
    <t>Maize silage</t>
  </si>
  <si>
    <t>20 - 40</t>
  </si>
  <si>
    <t>160 - 200</t>
  </si>
  <si>
    <t>Rice straw</t>
  </si>
  <si>
    <t>25 - 50</t>
  </si>
  <si>
    <t>320 - 450</t>
  </si>
  <si>
    <t>Market wastes</t>
  </si>
  <si>
    <t>8-20</t>
  </si>
  <si>
    <t>250 - 450</t>
  </si>
  <si>
    <t>Wastes from households and canteens</t>
  </si>
  <si>
    <t>Mixed biowaste from households*</t>
  </si>
  <si>
    <t>35 - 75</t>
  </si>
  <si>
    <t>100 - 200</t>
  </si>
  <si>
    <t>Grass, green waste</t>
  </si>
  <si>
    <t>Food leftovers (kitchen)*</t>
  </si>
  <si>
    <t>9-37</t>
  </si>
  <si>
    <t>150 - 300</t>
  </si>
  <si>
    <t>Waste from food retail (supermarkets)*</t>
  </si>
  <si>
    <t>9 - 90</t>
  </si>
  <si>
    <t>200 - 400</t>
  </si>
  <si>
    <t>Dry bread</t>
  </si>
  <si>
    <t>65 - 90</t>
  </si>
  <si>
    <t>620 - 880</t>
  </si>
  <si>
    <t>Mixed fat</t>
  </si>
  <si>
    <t>80 - 95</t>
  </si>
  <si>
    <t>Eggs</t>
  </si>
  <si>
    <t>380 - 520</t>
  </si>
  <si>
    <t>Low-fat milk</t>
  </si>
  <si>
    <t>Frying oil and fat</t>
  </si>
  <si>
    <t>50 - 70</t>
  </si>
  <si>
    <t>600 – 750</t>
  </si>
  <si>
    <t>Animal by-products</t>
  </si>
  <si>
    <t>Slaughterhouse waste</t>
  </si>
  <si>
    <t>-</t>
  </si>
  <si>
    <t>320 - 600</t>
  </si>
  <si>
    <t>Meat and bone meal</t>
  </si>
  <si>
    <t>8-27</t>
  </si>
  <si>
    <t>750 – 1,100</t>
  </si>
  <si>
    <t>Animal fat</t>
  </si>
  <si>
    <t>Blood liquid</t>
  </si>
  <si>
    <t>Guts (pigs)</t>
  </si>
  <si>
    <t>Cow manure</t>
  </si>
  <si>
    <t>Pig manure</t>
  </si>
  <si>
    <t>Cow dung</t>
  </si>
  <si>
    <t>Pig doung</t>
  </si>
  <si>
    <t>Poultry doung</t>
  </si>
  <si>
    <t>10</t>
  </si>
  <si>
    <t>6</t>
  </si>
  <si>
    <t>25</t>
  </si>
  <si>
    <t>40</t>
  </si>
  <si>
    <t>Cost of substrate</t>
  </si>
  <si>
    <t>Revenue for waste</t>
  </si>
  <si>
    <t>Total biogas yield</t>
  </si>
  <si>
    <t>Total methane yield</t>
  </si>
  <si>
    <t>Total costs</t>
  </si>
  <si>
    <t>Total revenues</t>
  </si>
  <si>
    <t>Amount of substrate/ waste</t>
  </si>
  <si>
    <t>Annual biogas production</t>
  </si>
  <si>
    <t>Annual methane production</t>
  </si>
  <si>
    <t>Annual substrate costs</t>
  </si>
  <si>
    <t>Annual revenues from waste</t>
  </si>
  <si>
    <t>Sugar beet</t>
  </si>
  <si>
    <t>Forage beet</t>
  </si>
  <si>
    <t>[t FM/a]</t>
  </si>
  <si>
    <t>Annual input of fresh mass</t>
  </si>
  <si>
    <t>revenues from waste disposal</t>
  </si>
  <si>
    <r>
      <t>[m</t>
    </r>
    <r>
      <rPr>
        <b/>
        <vertAlign val="superscript"/>
        <sz val="11"/>
        <color rgb="FF231F20"/>
        <rFont val="Calibri"/>
        <family val="2"/>
        <scheme val="minor"/>
      </rPr>
      <t>3</t>
    </r>
    <r>
      <rPr>
        <b/>
        <sz val="11"/>
        <color rgb="FF231F20"/>
        <rFont val="Calibri"/>
        <family val="2"/>
        <scheme val="minor"/>
      </rPr>
      <t>/t FM]</t>
    </r>
  </si>
  <si>
    <t>[€/t FM]</t>
  </si>
  <si>
    <t>General data</t>
  </si>
  <si>
    <t>Costs of upgrading</t>
  </si>
  <si>
    <t>Pressure swing adsorption [1]</t>
  </si>
  <si>
    <t>Pressurized water scrubbing [2]</t>
  </si>
  <si>
    <t>Amine scrubbing [3]</t>
  </si>
  <si>
    <t>Membrane separation [4]</t>
  </si>
  <si>
    <t>include investment costs of gas pipeline in economic assessment? [Y/N]</t>
  </si>
  <si>
    <t>include investment costs of transfer/injection station in economic assessment? [Y/N]</t>
  </si>
  <si>
    <t>include operating costs of transfer/injection station in economic assessment? [Y/N]</t>
  </si>
  <si>
    <t>include operating costs of gas compression in economic assessment? [Y/N]</t>
  </si>
  <si>
    <t>pressure level of respective gas grid [bar]</t>
  </si>
  <si>
    <t>balance of running costs</t>
  </si>
  <si>
    <t>Operating numbers</t>
  </si>
  <si>
    <t>Biogas-Netzeinspeisung 2014. Wirtschaftliche Planung. http://www.biogas-netzeinspeisung.at/wirtschaftliche-planung/modellanlage.html. 18.02.2016.</t>
  </si>
  <si>
    <t>biogas production</t>
  </si>
  <si>
    <t>biogas for upgrading</t>
  </si>
  <si>
    <t>biomethane produced</t>
  </si>
  <si>
    <t>(CHP, …)</t>
  </si>
  <si>
    <t>biogas used otherwise</t>
  </si>
  <si>
    <t>Process flow chart</t>
  </si>
  <si>
    <t>Results</t>
  </si>
  <si>
    <t>Input data</t>
  </si>
  <si>
    <t>In this data sheet you will find the operating numbers which are the basis for the calculations. If you have more detailed or specific data for the calculation, feel free to adjust the operating numbers for your needs.</t>
  </si>
  <si>
    <r>
      <t xml:space="preserve">However, make sure that you </t>
    </r>
    <r>
      <rPr>
        <b/>
        <sz val="11"/>
        <color theme="1"/>
        <rFont val="Calibri"/>
        <family val="2"/>
        <scheme val="minor"/>
      </rPr>
      <t>only adjust the data in the green cells!</t>
    </r>
    <r>
      <rPr>
        <sz val="11"/>
        <color theme="1"/>
        <rFont val="Calibri"/>
        <family val="2"/>
        <scheme val="minor"/>
      </rPr>
      <t xml:space="preserve"> Figures in other cells are either calculations or fixed values which must not be changed, as the calculations strictly depend on these values.</t>
    </r>
  </si>
  <si>
    <t>The references for these default values set by the authors are given next to each data table. At the bottom of this data sheet you can find the sources of information.</t>
  </si>
  <si>
    <t>"Y" for Yes, "N" for No</t>
  </si>
  <si>
    <t>percentage; e.g. "90" for 90% (not "0.9")</t>
  </si>
  <si>
    <t>In this sheet you will have to put in your data and decide which costs of each process steps you want to consider in the economic assessment.</t>
  </si>
  <si>
    <t>As the regulations differ from country to country, some costs you might have to consider in one country whereas in another country these costs are covered by the state.</t>
  </si>
  <si>
    <r>
      <t>Off-gas (mainly CO</t>
    </r>
    <r>
      <rPr>
        <b/>
        <vertAlign val="subscript"/>
        <sz val="11"/>
        <color rgb="FF595959"/>
        <rFont val="Calibri"/>
        <family val="2"/>
        <scheme val="minor"/>
      </rPr>
      <t>2</t>
    </r>
    <r>
      <rPr>
        <b/>
        <sz val="11"/>
        <color rgb="FF595959"/>
        <rFont val="Calibri"/>
        <family val="2"/>
        <scheme val="minor"/>
      </rPr>
      <t>)</t>
    </r>
  </si>
  <si>
    <t>substrate/waste</t>
  </si>
  <si>
    <t>put in "1" for Pressure swing adsorption, "2" for Pressurized water scrubbing,</t>
  </si>
  <si>
    <t>"3" for Amine scrubbing or "4" for Membrane separation</t>
  </si>
  <si>
    <t>Mobile CNG storage and transport</t>
  </si>
  <si>
    <t>Assumptions mobile CNG storage and transport</t>
  </si>
  <si>
    <t>oneway route between gas upgrading and utilization of gas [km]</t>
  </si>
  <si>
    <t>costs of haulier, including connection and disconnection of storage systems [€/km]</t>
  </si>
  <si>
    <t>Biomethane utilization</t>
  </si>
  <si>
    <t>share of biomethane, which will be distributed via mobile storage systems [%]</t>
  </si>
  <si>
    <t>share of biomethane, which will be injected into the local natural gas grid [%]</t>
  </si>
  <si>
    <t>Total [%]</t>
  </si>
  <si>
    <t>if no biomethane is distributed via mobile storage systems, there is no need to fill in these numbers</t>
  </si>
  <si>
    <t>if no biomethane is injected into a local natural gas grid, there is no need to fill in these numbers</t>
  </si>
  <si>
    <t>if no biomethane is utilized at a CNG filling station, there is no need to fill in these numbers</t>
  </si>
  <si>
    <t>investment costs of conventional biogas plant</t>
  </si>
  <si>
    <t>additional costs of waste biogas plant</t>
  </si>
  <si>
    <t>[9]</t>
  </si>
  <si>
    <t>additional costs of waste biogas plants in percent of investment costs of conventional biogas plants</t>
  </si>
  <si>
    <t>no main focus on special waste types [%]</t>
  </si>
  <si>
    <t>main focus on oils and fats, grease traps [%]</t>
  </si>
  <si>
    <t>main focus on waste from organic waste collection bin [%]</t>
  </si>
  <si>
    <r>
      <t>Stürmer, B. 2016. Interview from April, 27</t>
    </r>
    <r>
      <rPr>
        <vertAlign val="superscript"/>
        <sz val="11"/>
        <color theme="1"/>
        <rFont val="Calibri"/>
        <family val="2"/>
        <scheme val="minor"/>
      </rPr>
      <t>th</t>
    </r>
    <r>
      <rPr>
        <sz val="11"/>
        <color theme="1"/>
        <rFont val="Calibri"/>
        <family val="2"/>
        <scheme val="minor"/>
      </rPr>
      <t xml:space="preserve"> 2016. Wien: ARGE Kompost &amp; Biogas.</t>
    </r>
  </si>
  <si>
    <t>annual number of trips</t>
  </si>
  <si>
    <t>[1/a]</t>
  </si>
  <si>
    <t>annual amount of biomethane, which will be distributed via mobile storage systems</t>
  </si>
  <si>
    <t>mileage of hauliers</t>
  </si>
  <si>
    <t>[km/a]</t>
  </si>
  <si>
    <t>costs of hauliers</t>
  </si>
  <si>
    <t>Costs of mobile storage systems and transport</t>
  </si>
  <si>
    <t>Graphics</t>
  </si>
  <si>
    <t>Costs of CNG filling station</t>
  </si>
  <si>
    <t>Costs of grid injection</t>
  </si>
  <si>
    <t>annual amount of biomethane, which will be injected into the local natural gas grid</t>
  </si>
  <si>
    <t>biomethane distributed via mobile storage systems</t>
  </si>
  <si>
    <t>biomethane injected into the local natural gas grid</t>
  </si>
  <si>
    <t>annual amount of biomethane, which will be distributed at a CNG filling station</t>
  </si>
  <si>
    <t>biomethane distributed at a CNG filling station</t>
  </si>
  <si>
    <t>include investment costs of mobile CNG storage systems in economic assessment? [Y/N]</t>
  </si>
  <si>
    <t>include operating costs of mobile CNG storage systems in economic assessment? [Y/N]</t>
  </si>
  <si>
    <t>include investment costs of CNG filling station in economic assessment? [Y/N]</t>
  </si>
  <si>
    <t>include investment costs of gas pipeline in economic asssessment? [Y/N]</t>
  </si>
  <si>
    <t>include operating costs of CNG filling station in economic assessment? [Y/N]</t>
  </si>
  <si>
    <r>
      <rPr>
        <b/>
        <sz val="11"/>
        <color theme="1"/>
        <rFont val="Calibri"/>
        <family val="2"/>
        <scheme val="minor"/>
      </rPr>
      <t>Make sure that you put in your data in the required units!</t>
    </r>
    <r>
      <rPr>
        <sz val="11"/>
        <color theme="1"/>
        <rFont val="Calibri"/>
        <family val="2"/>
        <scheme val="minor"/>
      </rPr>
      <t xml:space="preserve"> For example, if it says "distance to gas grid [</t>
    </r>
    <r>
      <rPr>
        <b/>
        <sz val="11"/>
        <color theme="1"/>
        <rFont val="Calibri"/>
        <family val="2"/>
        <scheme val="minor"/>
      </rPr>
      <t>m</t>
    </r>
    <r>
      <rPr>
        <sz val="11"/>
        <color theme="1"/>
        <rFont val="Calibri"/>
        <family val="2"/>
        <scheme val="minor"/>
      </rPr>
      <t xml:space="preserve">]" - you will have to put in the distance in </t>
    </r>
    <r>
      <rPr>
        <b/>
        <sz val="11"/>
        <color theme="1"/>
        <rFont val="Calibri"/>
        <family val="2"/>
        <scheme val="minor"/>
      </rPr>
      <t>metres,</t>
    </r>
    <r>
      <rPr>
        <sz val="11"/>
        <color theme="1"/>
        <rFont val="Calibri"/>
        <family val="2"/>
        <scheme val="minor"/>
      </rPr>
      <t xml:space="preserve"> otherwise the calculations will not give you any useful information.</t>
    </r>
  </si>
  <si>
    <t>include investment costs of gas upgrading facility in economic assessment? [Y/N]</t>
  </si>
  <si>
    <t>adjustment of caloric value necessary? [Y/N]</t>
  </si>
  <si>
    <t>include operating costs of gas upgrading in economic assessment? [Y/N]</t>
  </si>
  <si>
    <t>Dominik Rutz, Juan-Manuel Ugalde</t>
  </si>
  <si>
    <t>focus of waste biogas plant</t>
  </si>
  <si>
    <t xml:space="preserve">The general objective of the Bin2Grid project is to promote biomethane production from biowaste as the treatment technology with the highest socio-economic and environmental benefits. 
A key barrier for the introduction of biomethane production from biowaste is related to doubts and concerns of the main decision makers involved in the sector: city and municipality authorities, policy makers and politicians. A multitude of examples in Europe show, however, that the realisation of biogas/biomethane projects using biowaste not only contributes to mitigate negative environmental impacts, but that it is also economically feasible and contributes to financial benefits for the waste collection area. 
The present tool aims to help planners in an early stage of project development to estimate costs of biogas production, gas upgrading and different ways of biomethane utilization.
</t>
  </si>
  <si>
    <r>
      <t>May, 4</t>
    </r>
    <r>
      <rPr>
        <vertAlign val="superscript"/>
        <sz val="11"/>
        <color theme="1"/>
        <rFont val="Calibri"/>
        <family val="2"/>
        <scheme val="minor"/>
      </rPr>
      <t>th</t>
    </r>
    <r>
      <rPr>
        <sz val="11"/>
        <color theme="1"/>
        <rFont val="Calibri"/>
        <family val="2"/>
        <scheme val="minor"/>
      </rPr>
      <t xml:space="preserve"> 2016</t>
    </r>
  </si>
  <si>
    <t xml:space="preserve">o Review/check the default values of the pre-filled cells </t>
  </si>
  <si>
    <t>o Review/check the used calculations and check whether you want to change the methodology</t>
  </si>
  <si>
    <t xml:space="preserve">o Define precisely the waste/substrate input for your project
</t>
  </si>
  <si>
    <t>o Consider the limitations of the calculations and your assumptions</t>
  </si>
  <si>
    <t>The present biomethane tool is developed to quickly get a first idea on economic conditions of biogas production, gas upgrading and ways of utilization of biomethane. It is designed for a rough estimation of investment, operating and initial costs of different facilities on the various process steps from waste/substrate to biomethane utilization. A user with profound knowledge of certain economic conditions for his/her project can alter the given default values and assumptions to obtain more accurate results.
The results of the calculations depends very much on the accuracy of the input data and on the used default values. As some default values can differ very much between countries and also within countries, the pre-given default values should be carefully checked. 
Furthermore, the calculation of some parameters has been designed rather simple in order to provide a easy-to-handle tool.</t>
  </si>
  <si>
    <t>Yellow cells = Your input data is needed</t>
  </si>
  <si>
    <r>
      <t>The spreadsheets are protected in order to allow you to fill in only the yellow cells and not to delete by accident calculation cells. All calculations are visible and can be checked. 
Furthermore, the tool can be extended and also the methodology of the calculations can be changed if a more profound calculation is needed. Therefore the password to un-protect the spreadsheets is: "</t>
    </r>
    <r>
      <rPr>
        <b/>
        <sz val="11"/>
        <color theme="1"/>
        <rFont val="Calibri"/>
        <family val="2"/>
        <scheme val="minor"/>
      </rPr>
      <t>123</t>
    </r>
    <r>
      <rPr>
        <sz val="11"/>
        <color theme="1"/>
        <rFont val="Calibri"/>
        <family val="2"/>
        <scheme val="minor"/>
      </rPr>
      <t>".</t>
    </r>
  </si>
  <si>
    <r>
      <t xml:space="preserve">The tool consists of several data sheets which are briefly explained here. 
</t>
    </r>
    <r>
      <rPr>
        <b/>
        <i/>
        <sz val="11"/>
        <rFont val="Calibri"/>
        <family val="2"/>
        <scheme val="minor"/>
      </rPr>
      <t>Biogas yields</t>
    </r>
    <r>
      <rPr>
        <sz val="11"/>
        <rFont val="Calibri"/>
        <family val="2"/>
        <scheme val="minor"/>
      </rPr>
      <t xml:space="preserve">: in this sheet you will have to fill in data regarding the substrate used for the biogas production. You will have to put in data regarding dry matter, biogas yield, methane content, amount of substrate/waste and costs/revenues of substrates. However, for the parameters dry matter, biogas yield and methane content there are default values given. Especially when it comes to biogas yields from waste, it is almost impossible and not legitimate to give one specific number, therefore the user, based on his/her particular knowledge, will have to define these parameters. The given default values should guide the user as a range of possibilities.
</t>
    </r>
    <r>
      <rPr>
        <b/>
        <i/>
        <sz val="11"/>
        <rFont val="Calibri"/>
        <family val="2"/>
        <scheme val="minor"/>
      </rPr>
      <t>Input data</t>
    </r>
    <r>
      <rPr>
        <sz val="11"/>
        <rFont val="Calibri"/>
        <family val="2"/>
        <scheme val="minor"/>
      </rPr>
      <t xml:space="preserve">: you need to include the main core data in this sheet. After your input in 'Biogas yields' and 'Input data' is done there is no more input required from you in the first step of the economic assessment.
</t>
    </r>
    <r>
      <rPr>
        <b/>
        <i/>
        <sz val="11"/>
        <rFont val="Calibri"/>
        <family val="2"/>
        <scheme val="minor"/>
      </rPr>
      <t>Operating numbers</t>
    </r>
    <r>
      <rPr>
        <sz val="11"/>
        <rFont val="Calibri"/>
        <family val="2"/>
        <scheme val="minor"/>
      </rPr>
      <t xml:space="preserve">: here, the operating numbers are presented, which are the basis for the calculations in this tool. For a second step of the economic assessment you are free to adjust some of the operating numbers in this sheet to get more accurate results.
</t>
    </r>
    <r>
      <rPr>
        <b/>
        <i/>
        <sz val="11"/>
        <rFont val="Calibri"/>
        <family val="2"/>
        <scheme val="minor"/>
      </rPr>
      <t>Results</t>
    </r>
    <r>
      <rPr>
        <sz val="11"/>
        <rFont val="Calibri"/>
        <family val="2"/>
        <scheme val="minor"/>
      </rPr>
      <t xml:space="preserve">: this is the spreadsheet with the main results of the tool. 
</t>
    </r>
    <r>
      <rPr>
        <b/>
        <i/>
        <sz val="11"/>
        <rFont val="Calibri"/>
        <family val="2"/>
        <scheme val="minor"/>
      </rPr>
      <t>Graphics</t>
    </r>
    <r>
      <rPr>
        <sz val="11"/>
        <rFont val="Calibri"/>
        <family val="2"/>
        <scheme val="minor"/>
      </rPr>
      <t xml:space="preserve">: here, the results are also shown in graphical illustrations.
</t>
    </r>
  </si>
  <si>
    <t>Green cells = default values which can be changed if the user has more specific/detailed data available</t>
  </si>
  <si>
    <t>Disclaimer</t>
  </si>
  <si>
    <t>Results received from this tool are designed for information purposes only, and accuracy is not guaranteed. The authors does not guarantee the accuracy of any information and calculation, and is not responsible for any errors, omissions, or misrepresentations.</t>
  </si>
  <si>
    <t>yearly plant availability [%]</t>
  </si>
  <si>
    <t>FM = fresh matter</t>
  </si>
  <si>
    <t>Own entries</t>
  </si>
  <si>
    <r>
      <t>include investment costs</t>
    </r>
    <r>
      <rPr>
        <vertAlign val="superscript"/>
        <sz val="11"/>
        <color theme="1"/>
        <rFont val="Calibri"/>
        <family val="2"/>
        <scheme val="minor"/>
      </rPr>
      <t>(1)</t>
    </r>
    <r>
      <rPr>
        <sz val="11"/>
        <color theme="1"/>
        <rFont val="Calibri"/>
        <family val="2"/>
        <scheme val="minor"/>
      </rPr>
      <t xml:space="preserve"> of biogas plant in economic assessment? [Y/N]</t>
    </r>
  </si>
  <si>
    <r>
      <rPr>
        <vertAlign val="superscript"/>
        <sz val="11"/>
        <color theme="1"/>
        <rFont val="Calibri"/>
        <family val="2"/>
        <scheme val="minor"/>
      </rPr>
      <t>(1)</t>
    </r>
    <r>
      <rPr>
        <sz val="11"/>
        <color theme="1"/>
        <rFont val="Calibri"/>
        <family val="2"/>
        <scheme val="minor"/>
      </rPr>
      <t xml:space="preserve"> investment costs don't include gas utilization (cogeneration unit), but include storage of substrate, logistics, input of material, digester, storage of manure, planning, concession, startup operations, property costs, infrastructure provision, building of roads</t>
    </r>
  </si>
  <si>
    <r>
      <rPr>
        <vertAlign val="superscript"/>
        <sz val="11"/>
        <color theme="1"/>
        <rFont val="Calibri"/>
        <family val="2"/>
        <scheme val="minor"/>
      </rPr>
      <t>(2)</t>
    </r>
    <r>
      <rPr>
        <sz val="11"/>
        <color theme="1"/>
        <rFont val="Calibri"/>
        <family val="2"/>
        <scheme val="minor"/>
      </rPr>
      <t xml:space="preserve"> operating costs include operating materials, costs for maintenance and service, costs for lab analysis</t>
    </r>
  </si>
  <si>
    <r>
      <t>include operating costs</t>
    </r>
    <r>
      <rPr>
        <vertAlign val="superscript"/>
        <sz val="11"/>
        <color theme="1"/>
        <rFont val="Calibri"/>
        <family val="2"/>
        <scheme val="minor"/>
      </rPr>
      <t>(2)</t>
    </r>
    <r>
      <rPr>
        <sz val="11"/>
        <color theme="1"/>
        <rFont val="Calibri"/>
        <family val="2"/>
        <scheme val="minor"/>
      </rPr>
      <t xml:space="preserve"> of biogas production in economic assessment? [Y/N]</t>
    </r>
  </si>
  <si>
    <t>include costs of substrate in economic assessment? [Y/N]</t>
  </si>
  <si>
    <t>share of biomethane, which will be utilized at a local CNG filling station [%]</t>
  </si>
  <si>
    <t>number of required mobile storage tanks [-]</t>
  </si>
  <si>
    <t>Local CNG Filling Station</t>
  </si>
  <si>
    <t>electricity price [€-cent/kWh]</t>
  </si>
  <si>
    <t>investment subsidy for biogas plant [€]</t>
  </si>
  <si>
    <t>investment subsidy for gas upgrading plant [€]</t>
  </si>
  <si>
    <t>investment subsidy per mobile storage system [€]</t>
  </si>
  <si>
    <t>investment subsidy for grid injection infrastructure [€]</t>
  </si>
  <si>
    <t>investment subsidy for CNG filling station [€]</t>
  </si>
  <si>
    <t>investment subsidy</t>
  </si>
  <si>
    <t>List of abbreviations</t>
  </si>
  <si>
    <t>electrical energy consumption in % of the energy of the gas [%]</t>
  </si>
  <si>
    <t>theoretical electric capacity of biogas plant</t>
  </si>
  <si>
    <t>costs for substrate</t>
  </si>
  <si>
    <t>total running costs</t>
  </si>
  <si>
    <t>production costs of biomethane at grid injection</t>
  </si>
  <si>
    <t>production costs of biomethane distributed with mobile storage systems</t>
  </si>
  <si>
    <t>production costs of biomethane after upgrading</t>
  </si>
  <si>
    <t>production costs of raw biogas</t>
  </si>
  <si>
    <t>net raw biogas flow for upgrading</t>
  </si>
  <si>
    <t>conventional biogas plants</t>
  </si>
  <si>
    <t>production costs of biomethane at fuel dispenser</t>
  </si>
  <si>
    <t>fuel dispenser [€]</t>
  </si>
  <si>
    <t>average costs for gas pipeline including ground level restoration [€/m]</t>
  </si>
  <si>
    <t>main focus on food waste and waste from kitchens/canteens [%]</t>
  </si>
  <si>
    <t>distance to gas source [m]</t>
  </si>
  <si>
    <t>volume per mobile storage tank [m³]</t>
  </si>
  <si>
    <t>investment costs per storage system [€]</t>
  </si>
  <si>
    <t>capacity of compressor [m³/h]</t>
  </si>
  <si>
    <t>annual sales volume [m³/a]</t>
  </si>
  <si>
    <t>[m³ raw biogas/ h]</t>
  </si>
  <si>
    <t>specific investment costs [€/(m³ raw biogas/h)]</t>
  </si>
  <si>
    <t>specific operating costs [€/(m³ raw biogas/h)]</t>
  </si>
  <si>
    <t>specific costs for adjustment of caloric value [€/m³ Biogas]</t>
  </si>
  <si>
    <t>specific costs of gas compression [kWh/m³ biomethane]</t>
  </si>
  <si>
    <t>specific [€/(m³/h)]</t>
  </si>
  <si>
    <t>[m³/h]</t>
  </si>
  <si>
    <t>lower heating value methane [kWh/m³]</t>
  </si>
  <si>
    <t>higher heating value methane [kWh/m³]</t>
  </si>
  <si>
    <t>Annotations regarding the calculation of investment costs of the biogas plant</t>
  </si>
  <si>
    <t>It is more difficult to estimate the costs of a waste biogas plant compared to a conventional biogas plant, as these costs strongly depend on the quantity, quality and type of waste fractions the plant has to deal with. Therefore there is no reliable data from literature on average costs of waste biogas plants. For this reason the calculational approach in this tool splits the costs of waste biogas plants in two fractions - costs which apply to every biogas plant investment and additional costs of waste biogas plants (e.g. hygienisation, pre-treatment, ...). The general costs are given in absolute figures from literature, whereas the additional costs of waste biogas plants are relative costs in terms of the general costs. However, these figures and estimates can be changed, if the user has more accurate data available.</t>
  </si>
  <si>
    <t>[€/m³]</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</si>
</sst>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 #,##0.00_-;_-* &quot;-&quot;??_-;_-@_-"/>
    <numFmt numFmtId="165" formatCode="#,##0.0"/>
  </numFmts>
  <fonts count="28" x14ac:knownFonts="1">
    <font>
      <sz val="11"/>
      <color theme="1"/>
      <name val="Calibri"/>
      <family val="2"/>
      <scheme val="minor"/>
    </font>
    <font>
      <b/>
      <sz val="11"/>
      <color theme="1"/>
      <name val="Calibri"/>
      <family val="2"/>
      <scheme val="minor"/>
    </font>
    <font>
      <b/>
      <sz val="14"/>
      <color theme="1"/>
      <name val="Calibri"/>
      <family val="2"/>
      <scheme val="minor"/>
    </font>
    <font>
      <vertAlign val="superscript"/>
      <sz val="11"/>
      <color theme="1"/>
      <name val="Calibri"/>
      <family val="2"/>
      <scheme val="minor"/>
    </font>
    <font>
      <sz val="11"/>
      <color theme="1"/>
      <name val="Calibri"/>
      <family val="2"/>
      <scheme val="minor"/>
    </font>
    <font>
      <b/>
      <sz val="16"/>
      <color theme="1"/>
      <name val="Calibri"/>
      <family val="2"/>
      <scheme val="minor"/>
    </font>
    <font>
      <vertAlign val="subscript"/>
      <sz val="11"/>
      <color theme="1"/>
      <name val="Calibri"/>
      <family val="2"/>
      <scheme val="minor"/>
    </font>
    <font>
      <sz val="11"/>
      <color theme="0"/>
      <name val="Calibri"/>
      <family val="2"/>
      <scheme val="minor"/>
    </font>
    <font>
      <b/>
      <sz val="20"/>
      <color theme="1"/>
      <name val="Calibri"/>
      <family val="2"/>
      <scheme val="minor"/>
    </font>
    <font>
      <b/>
      <i/>
      <sz val="11"/>
      <color theme="1"/>
      <name val="Calibri"/>
      <family val="2"/>
      <scheme val="minor"/>
    </font>
    <font>
      <sz val="11"/>
      <name val="Calibri"/>
      <family val="2"/>
      <scheme val="minor"/>
    </font>
    <font>
      <u/>
      <sz val="11"/>
      <color theme="10"/>
      <name val="Calibri"/>
      <family val="2"/>
      <scheme val="minor"/>
    </font>
    <font>
      <sz val="9"/>
      <color theme="1"/>
      <name val="Calibri"/>
      <family val="2"/>
      <scheme val="minor"/>
    </font>
    <font>
      <b/>
      <sz val="18"/>
      <color theme="1"/>
      <name val="Calibri"/>
      <family val="2"/>
      <scheme val="minor"/>
    </font>
    <font>
      <i/>
      <sz val="11"/>
      <color theme="1"/>
      <name val="Calibri"/>
      <family val="2"/>
      <scheme val="minor"/>
    </font>
    <font>
      <b/>
      <sz val="11"/>
      <color rgb="FFFF0000"/>
      <name val="Calibri"/>
      <family val="2"/>
      <scheme val="minor"/>
    </font>
    <font>
      <b/>
      <i/>
      <sz val="11"/>
      <color rgb="FFFF0000"/>
      <name val="Calibri"/>
      <family val="2"/>
      <scheme val="minor"/>
    </font>
    <font>
      <b/>
      <vertAlign val="superscript"/>
      <sz val="11"/>
      <color rgb="FF231F20"/>
      <name val="Calibri"/>
      <family val="2"/>
      <scheme val="minor"/>
    </font>
    <font>
      <b/>
      <sz val="11"/>
      <color rgb="FF231F20"/>
      <name val="Calibri"/>
      <family val="2"/>
      <scheme val="minor"/>
    </font>
    <font>
      <sz val="11"/>
      <color rgb="FF231F20"/>
      <name val="Calibri"/>
      <family val="2"/>
      <scheme val="minor"/>
    </font>
    <font>
      <b/>
      <u/>
      <sz val="14"/>
      <color rgb="FF595959"/>
      <name val="Calibri"/>
      <family val="2"/>
      <scheme val="minor"/>
    </font>
    <font>
      <b/>
      <sz val="11"/>
      <color rgb="FF595959"/>
      <name val="Calibri"/>
      <family val="2"/>
      <scheme val="minor"/>
    </font>
    <font>
      <sz val="11"/>
      <color rgb="FF595959"/>
      <name val="Calibri"/>
      <family val="2"/>
      <scheme val="minor"/>
    </font>
    <font>
      <b/>
      <vertAlign val="subscript"/>
      <sz val="11"/>
      <color rgb="FF595959"/>
      <name val="Calibri"/>
      <family val="2"/>
      <scheme val="minor"/>
    </font>
    <font>
      <i/>
      <sz val="11"/>
      <color rgb="FF595959"/>
      <name val="Calibri"/>
      <family val="2"/>
      <scheme val="minor"/>
    </font>
    <font>
      <b/>
      <i/>
      <sz val="11"/>
      <name val="Calibri"/>
      <family val="2"/>
      <scheme val="minor"/>
    </font>
    <font>
      <sz val="9"/>
      <color indexed="81"/>
      <name val="Segoe UI"/>
      <family val="2"/>
    </font>
    <font>
      <b/>
      <sz val="9"/>
      <color indexed="81"/>
      <name val="Segoe UI"/>
      <family val="2"/>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theme="0" tint="-0.249977111117893"/>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top/>
      <bottom style="thin">
        <color auto="1"/>
      </bottom>
      <diagonal/>
    </border>
    <border>
      <left/>
      <right style="thin">
        <color indexed="64"/>
      </right>
      <top style="thin">
        <color auto="1"/>
      </top>
      <bottom style="thin">
        <color auto="1"/>
      </bottom>
      <diagonal/>
    </border>
    <border>
      <left style="thin">
        <color indexed="64"/>
      </left>
      <right/>
      <top style="thin">
        <color auto="1"/>
      </top>
      <bottom style="thin">
        <color auto="1"/>
      </bottom>
      <diagonal/>
    </border>
    <border>
      <left style="thin">
        <color auto="1"/>
      </left>
      <right style="thin">
        <color auto="1"/>
      </right>
      <top style="thin">
        <color indexed="64"/>
      </top>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4">
    <xf numFmtId="0" fontId="0" fillId="0" borderId="0"/>
    <xf numFmtId="164" fontId="4" fillId="0" borderId="0" applyFont="0" applyFill="0" applyBorder="0" applyAlignment="0" applyProtection="0"/>
    <xf numFmtId="0" fontId="11" fillId="0" borderId="0" applyNumberFormat="0" applyFill="0" applyBorder="0" applyAlignment="0" applyProtection="0"/>
    <xf numFmtId="9" fontId="4" fillId="0" borderId="0" applyFont="0" applyFill="0" applyBorder="0" applyAlignment="0" applyProtection="0"/>
  </cellStyleXfs>
  <cellXfs count="241">
    <xf numFmtId="0" fontId="0" fillId="0" borderId="0" xfId="0"/>
    <xf numFmtId="0" fontId="0" fillId="0" borderId="0" xfId="0" applyAlignment="1">
      <alignment horizontal="center"/>
    </xf>
    <xf numFmtId="0" fontId="1" fillId="0" borderId="0" xfId="0" applyFont="1" applyAlignment="1">
      <alignment horizontal="center"/>
    </xf>
    <xf numFmtId="0" fontId="1" fillId="0" borderId="0" xfId="0" applyFont="1"/>
    <xf numFmtId="0" fontId="2" fillId="0" borderId="0" xfId="0" applyFont="1"/>
    <xf numFmtId="0" fontId="0" fillId="0" borderId="0" xfId="0" applyAlignment="1">
      <alignment horizontal="center" vertical="center" wrapText="1"/>
    </xf>
    <xf numFmtId="0" fontId="0" fillId="0" borderId="0" xfId="0" applyFont="1"/>
    <xf numFmtId="3" fontId="0" fillId="0" borderId="0" xfId="0" applyNumberFormat="1"/>
    <xf numFmtId="0" fontId="0" fillId="0" borderId="0" xfId="0" quotePrefix="1"/>
    <xf numFmtId="0" fontId="5" fillId="0" borderId="0" xfId="0" applyFont="1"/>
    <xf numFmtId="0" fontId="0" fillId="0" borderId="0" xfId="0" applyAlignment="1">
      <alignment horizontal="center" vertical="center"/>
    </xf>
    <xf numFmtId="0" fontId="0" fillId="0" borderId="0" xfId="0" applyAlignment="1">
      <alignment horizontal="left"/>
    </xf>
    <xf numFmtId="0" fontId="0" fillId="0" borderId="0" xfId="0" applyAlignment="1">
      <alignment horizontal="left" vertical="center"/>
    </xf>
    <xf numFmtId="0" fontId="0" fillId="0" borderId="3" xfId="0" applyBorder="1"/>
    <xf numFmtId="0" fontId="0" fillId="0" borderId="0" xfId="0" applyBorder="1"/>
    <xf numFmtId="0" fontId="0" fillId="0" borderId="6" xfId="0" applyBorder="1"/>
    <xf numFmtId="0" fontId="0" fillId="0" borderId="4" xfId="0" applyBorder="1"/>
    <xf numFmtId="0" fontId="0" fillId="0" borderId="10" xfId="0" applyBorder="1"/>
    <xf numFmtId="3" fontId="1" fillId="0" borderId="0" xfId="0" applyNumberFormat="1" applyFont="1" applyAlignment="1">
      <alignment horizontal="center"/>
    </xf>
    <xf numFmtId="3" fontId="0" fillId="0" borderId="0" xfId="0" applyNumberFormat="1" applyFont="1" applyAlignment="1">
      <alignment horizontal="center"/>
    </xf>
    <xf numFmtId="3" fontId="0" fillId="0" borderId="0" xfId="0" applyNumberFormat="1" applyFont="1" applyAlignment="1">
      <alignment horizontal="center" vertical="center"/>
    </xf>
    <xf numFmtId="165" fontId="0" fillId="0" borderId="0" xfId="0" applyNumberFormat="1" applyFont="1" applyAlignment="1">
      <alignment horizontal="center" vertical="center"/>
    </xf>
    <xf numFmtId="0" fontId="0" fillId="0" borderId="0" xfId="0" applyFill="1" applyBorder="1"/>
    <xf numFmtId="2" fontId="0" fillId="0" borderId="0" xfId="0" applyNumberFormat="1"/>
    <xf numFmtId="0" fontId="0" fillId="0" borderId="0" xfId="0" applyFont="1" applyFill="1" applyBorder="1"/>
    <xf numFmtId="49" fontId="8" fillId="0" borderId="0" xfId="0" applyNumberFormat="1" applyFont="1" applyBorder="1" applyAlignment="1"/>
    <xf numFmtId="49" fontId="0" fillId="0" borderId="0" xfId="0" applyNumberFormat="1" applyBorder="1" applyAlignment="1"/>
    <xf numFmtId="49" fontId="9" fillId="0" borderId="0" xfId="0" applyNumberFormat="1" applyFont="1" applyBorder="1" applyAlignment="1"/>
    <xf numFmtId="49" fontId="5" fillId="0" borderId="0" xfId="0" applyNumberFormat="1" applyFont="1" applyBorder="1" applyAlignment="1"/>
    <xf numFmtId="49" fontId="7" fillId="0" borderId="0" xfId="0" applyNumberFormat="1" applyFont="1" applyBorder="1" applyAlignment="1"/>
    <xf numFmtId="49" fontId="7" fillId="2" borderId="0" xfId="0" applyNumberFormat="1" applyFont="1" applyFill="1" applyBorder="1" applyAlignment="1"/>
    <xf numFmtId="49" fontId="0" fillId="0" borderId="0" xfId="0" applyNumberFormat="1" applyBorder="1" applyAlignment="1">
      <alignment vertical="top"/>
    </xf>
    <xf numFmtId="49" fontId="10" fillId="0" borderId="0" xfId="0" applyNumberFormat="1" applyFont="1" applyBorder="1" applyAlignment="1">
      <alignment wrapText="1"/>
    </xf>
    <xf numFmtId="49" fontId="0" fillId="0" borderId="0" xfId="0" applyNumberFormat="1" applyBorder="1" applyAlignment="1">
      <alignment horizontal="left" vertical="top"/>
    </xf>
    <xf numFmtId="49" fontId="0" fillId="0" borderId="0" xfId="0" applyNumberFormat="1" applyBorder="1" applyAlignment="1">
      <alignment horizontal="left" vertical="top" wrapText="1"/>
    </xf>
    <xf numFmtId="49" fontId="11" fillId="0" borderId="0" xfId="2" applyNumberFormat="1" applyBorder="1" applyAlignment="1"/>
    <xf numFmtId="49" fontId="12" fillId="0" borderId="0" xfId="0" applyNumberFormat="1" applyFont="1" applyBorder="1" applyAlignment="1"/>
    <xf numFmtId="0" fontId="13" fillId="0" borderId="0" xfId="0" applyFont="1"/>
    <xf numFmtId="0" fontId="9" fillId="0" borderId="0" xfId="0" applyFont="1"/>
    <xf numFmtId="0" fontId="0" fillId="0" borderId="0" xfId="0" applyAlignment="1">
      <alignment horizontal="left" vertical="top" wrapText="1"/>
    </xf>
    <xf numFmtId="0" fontId="0" fillId="2" borderId="0" xfId="0" applyFill="1"/>
    <xf numFmtId="0" fontId="0" fillId="3" borderId="0" xfId="0" applyFill="1"/>
    <xf numFmtId="0" fontId="0" fillId="4" borderId="0" xfId="0" applyFill="1"/>
    <xf numFmtId="0" fontId="0" fillId="5" borderId="0" xfId="0" applyFill="1"/>
    <xf numFmtId="0" fontId="0" fillId="0" borderId="0" xfId="0" applyAlignment="1">
      <alignment wrapText="1"/>
    </xf>
    <xf numFmtId="0" fontId="14" fillId="0" borderId="0" xfId="0" applyFont="1" applyAlignment="1">
      <alignment wrapText="1"/>
    </xf>
    <xf numFmtId="49" fontId="0" fillId="0" borderId="0" xfId="0" applyNumberFormat="1"/>
    <xf numFmtId="0" fontId="0" fillId="0" borderId="0" xfId="0" applyAlignment="1"/>
    <xf numFmtId="0" fontId="0" fillId="6" borderId="1" xfId="0" applyFill="1" applyBorder="1"/>
    <xf numFmtId="0" fontId="0" fillId="0" borderId="1" xfId="0" applyBorder="1" applyAlignment="1">
      <alignment horizontal="center" vertical="center" wrapText="1"/>
    </xf>
    <xf numFmtId="0" fontId="1" fillId="6" borderId="1" xfId="0" applyFont="1" applyFill="1" applyBorder="1" applyAlignment="1">
      <alignment horizontal="center" vertical="center" wrapText="1"/>
    </xf>
    <xf numFmtId="49" fontId="1" fillId="6" borderId="1" xfId="0" applyNumberFormat="1" applyFont="1" applyFill="1" applyBorder="1" applyAlignment="1">
      <alignment horizontal="center" vertical="center" wrapText="1"/>
    </xf>
    <xf numFmtId="0" fontId="19" fillId="2" borderId="1" xfId="0" applyFont="1" applyFill="1" applyBorder="1" applyAlignment="1">
      <alignment horizontal="left" vertical="center" wrapText="1"/>
    </xf>
    <xf numFmtId="49" fontId="19" fillId="2" borderId="1" xfId="0" applyNumberFormat="1" applyFont="1" applyFill="1" applyBorder="1" applyAlignment="1">
      <alignment horizontal="right" vertical="center" wrapText="1"/>
    </xf>
    <xf numFmtId="0" fontId="19" fillId="2" borderId="1" xfId="0" applyFont="1" applyFill="1" applyBorder="1" applyAlignment="1">
      <alignment horizontal="right" vertical="center" wrapText="1"/>
    </xf>
    <xf numFmtId="0" fontId="0" fillId="0" borderId="1" xfId="0" applyBorder="1" applyAlignment="1">
      <alignment wrapText="1"/>
    </xf>
    <xf numFmtId="49" fontId="0" fillId="2" borderId="1" xfId="0" applyNumberFormat="1" applyFont="1" applyFill="1" applyBorder="1" applyAlignment="1">
      <alignment horizontal="right" vertical="center" wrapText="1"/>
    </xf>
    <xf numFmtId="0" fontId="0" fillId="2" borderId="1" xfId="0" applyFont="1" applyFill="1" applyBorder="1" applyAlignment="1">
      <alignment horizontal="right" vertical="center" wrapText="1"/>
    </xf>
    <xf numFmtId="0" fontId="19" fillId="2" borderId="1" xfId="0" applyFont="1" applyFill="1" applyBorder="1" applyAlignment="1">
      <alignment horizontal="justify" vertical="center" wrapText="1"/>
    </xf>
    <xf numFmtId="3" fontId="0" fillId="2" borderId="1" xfId="0" applyNumberFormat="1" applyFont="1" applyFill="1" applyBorder="1" applyAlignment="1">
      <alignment horizontal="right" vertical="center" wrapText="1"/>
    </xf>
    <xf numFmtId="0" fontId="0" fillId="0" borderId="1" xfId="0" applyBorder="1"/>
    <xf numFmtId="49" fontId="0" fillId="0" borderId="1" xfId="0" applyNumberFormat="1" applyBorder="1"/>
    <xf numFmtId="0" fontId="0" fillId="3" borderId="1" xfId="0" applyFill="1" applyBorder="1" applyAlignment="1">
      <alignment horizontal="center"/>
    </xf>
    <xf numFmtId="0" fontId="0" fillId="3" borderId="1" xfId="0" applyFill="1" applyBorder="1" applyAlignment="1">
      <alignment horizontal="center" vertical="center"/>
    </xf>
    <xf numFmtId="0" fontId="0" fillId="0" borderId="1" xfId="0" applyBorder="1" applyAlignment="1">
      <alignment vertical="center" wrapText="1"/>
    </xf>
    <xf numFmtId="0" fontId="0" fillId="0" borderId="10" xfId="0" applyBorder="1" applyAlignment="1">
      <alignment horizontal="left"/>
    </xf>
    <xf numFmtId="0" fontId="0" fillId="0" borderId="1" xfId="0" applyBorder="1" applyAlignment="1">
      <alignment horizontal="left"/>
    </xf>
    <xf numFmtId="3" fontId="19" fillId="3" borderId="1" xfId="0" applyNumberFormat="1" applyFont="1" applyFill="1" applyBorder="1" applyAlignment="1" applyProtection="1">
      <alignment horizontal="right" vertical="center" wrapText="1"/>
      <protection locked="0"/>
    </xf>
    <xf numFmtId="3" fontId="0" fillId="3" borderId="1" xfId="0" applyNumberFormat="1" applyFont="1" applyFill="1" applyBorder="1" applyAlignment="1" applyProtection="1">
      <alignment horizontal="right" vertical="center" wrapText="1"/>
      <protection locked="0"/>
    </xf>
    <xf numFmtId="4" fontId="0" fillId="4" borderId="1" xfId="0" applyNumberFormat="1" applyFill="1" applyBorder="1"/>
    <xf numFmtId="3" fontId="0" fillId="4" borderId="1" xfId="0" applyNumberFormat="1" applyFill="1" applyBorder="1"/>
    <xf numFmtId="3" fontId="0" fillId="4" borderId="7" xfId="0" applyNumberFormat="1" applyFill="1" applyBorder="1"/>
    <xf numFmtId="0" fontId="0" fillId="0" borderId="8" xfId="0" applyFill="1" applyBorder="1" applyAlignment="1">
      <alignment horizontal="left"/>
    </xf>
    <xf numFmtId="0" fontId="0" fillId="0" borderId="9" xfId="0" applyBorder="1"/>
    <xf numFmtId="0" fontId="0" fillId="0" borderId="2" xfId="0" applyFill="1" applyBorder="1"/>
    <xf numFmtId="0" fontId="0" fillId="0" borderId="3" xfId="0" applyFill="1" applyBorder="1"/>
    <xf numFmtId="0" fontId="0" fillId="0" borderId="3" xfId="0" applyBorder="1" applyAlignment="1">
      <alignment wrapText="1"/>
    </xf>
    <xf numFmtId="0" fontId="19" fillId="2" borderId="3" xfId="0" applyFont="1" applyFill="1" applyBorder="1" applyAlignment="1">
      <alignment horizontal="right" vertical="center" wrapText="1"/>
    </xf>
    <xf numFmtId="49" fontId="0" fillId="0" borderId="3" xfId="0" applyNumberFormat="1" applyBorder="1"/>
    <xf numFmtId="3" fontId="0" fillId="0" borderId="1" xfId="0" applyNumberFormat="1" applyBorder="1"/>
    <xf numFmtId="3" fontId="0" fillId="4" borderId="1" xfId="1" applyNumberFormat="1" applyFont="1" applyFill="1" applyBorder="1"/>
    <xf numFmtId="3" fontId="0" fillId="4" borderId="1" xfId="0" applyNumberFormat="1" applyFill="1" applyBorder="1" applyAlignment="1">
      <alignment vertical="center"/>
    </xf>
    <xf numFmtId="0" fontId="0" fillId="0" borderId="1" xfId="0" applyBorder="1" applyAlignment="1">
      <alignment horizontal="left" vertical="center"/>
    </xf>
    <xf numFmtId="0" fontId="0" fillId="0" borderId="1" xfId="0" applyBorder="1" applyAlignment="1">
      <alignment horizontal="left" vertical="center" wrapText="1"/>
    </xf>
    <xf numFmtId="3" fontId="0" fillId="4" borderId="1" xfId="0" quotePrefix="1" applyNumberFormat="1" applyFill="1" applyBorder="1"/>
    <xf numFmtId="0" fontId="0" fillId="0" borderId="3" xfId="0" applyBorder="1" applyAlignment="1">
      <alignment horizontal="left"/>
    </xf>
    <xf numFmtId="3" fontId="0" fillId="0" borderId="6" xfId="0" applyNumberFormat="1" applyBorder="1"/>
    <xf numFmtId="0" fontId="0" fillId="0" borderId="6" xfId="0" applyBorder="1" applyAlignment="1">
      <alignment horizontal="left"/>
    </xf>
    <xf numFmtId="3" fontId="0" fillId="0" borderId="3" xfId="0" applyNumberFormat="1" applyFill="1" applyBorder="1"/>
    <xf numFmtId="0" fontId="9" fillId="0" borderId="6" xfId="0" applyFont="1" applyBorder="1"/>
    <xf numFmtId="0" fontId="0" fillId="0" borderId="0" xfId="0" applyFont="1" applyAlignment="1">
      <alignment horizontal="left"/>
    </xf>
    <xf numFmtId="3" fontId="0" fillId="3" borderId="1" xfId="0" applyNumberFormat="1" applyFill="1" applyBorder="1" applyAlignment="1">
      <alignment horizontal="center" vertical="center"/>
    </xf>
    <xf numFmtId="0" fontId="0" fillId="0" borderId="1" xfId="0" applyBorder="1" applyAlignment="1">
      <alignment horizontal="left"/>
    </xf>
    <xf numFmtId="0" fontId="0" fillId="0" borderId="1" xfId="0" applyBorder="1" applyAlignment="1">
      <alignment horizontal="left" vertical="center" wrapText="1"/>
    </xf>
    <xf numFmtId="0" fontId="0" fillId="0" borderId="1" xfId="0" applyBorder="1" applyAlignment="1">
      <alignment horizontal="left" vertical="center"/>
    </xf>
    <xf numFmtId="0" fontId="1" fillId="0" borderId="1" xfId="0" applyFont="1" applyBorder="1" applyAlignment="1">
      <alignment horizontal="center"/>
    </xf>
    <xf numFmtId="3" fontId="0" fillId="0" borderId="1" xfId="0" applyNumberFormat="1" applyBorder="1" applyAlignment="1">
      <alignment horizontal="center"/>
    </xf>
    <xf numFmtId="0" fontId="0" fillId="0" borderId="1" xfId="0" applyBorder="1" applyAlignment="1">
      <alignment horizontal="center"/>
    </xf>
    <xf numFmtId="0" fontId="9" fillId="0" borderId="1" xfId="0" applyFont="1" applyBorder="1"/>
    <xf numFmtId="0" fontId="1" fillId="0" borderId="1" xfId="0" applyFont="1" applyBorder="1" applyAlignment="1">
      <alignment horizontal="center" vertical="center" wrapText="1"/>
    </xf>
    <xf numFmtId="0" fontId="1" fillId="0" borderId="1" xfId="0" applyFont="1" applyBorder="1"/>
    <xf numFmtId="3" fontId="0" fillId="0" borderId="1" xfId="0" applyNumberFormat="1" applyBorder="1" applyAlignment="1">
      <alignment horizontal="center" vertical="center" wrapText="1"/>
    </xf>
    <xf numFmtId="0" fontId="0" fillId="0" borderId="1" xfId="0" applyFont="1" applyBorder="1"/>
    <xf numFmtId="0" fontId="0" fillId="0" borderId="1" xfId="0" applyBorder="1" applyAlignment="1">
      <alignment horizontal="center" vertical="center"/>
    </xf>
    <xf numFmtId="3" fontId="1" fillId="0" borderId="1" xfId="0" applyNumberFormat="1" applyFont="1" applyBorder="1" applyAlignment="1">
      <alignment horizontal="center"/>
    </xf>
    <xf numFmtId="165" fontId="0" fillId="0" borderId="1" xfId="0" applyNumberFormat="1" applyFont="1" applyBorder="1" applyAlignment="1">
      <alignment horizontal="center" vertical="center"/>
    </xf>
    <xf numFmtId="3" fontId="0" fillId="0" borderId="1" xfId="0" applyNumberFormat="1" applyFont="1" applyBorder="1" applyAlignment="1">
      <alignment horizontal="center" vertical="center"/>
    </xf>
    <xf numFmtId="3" fontId="0" fillId="5" borderId="1" xfId="0" applyNumberFormat="1" applyFill="1" applyBorder="1" applyAlignment="1">
      <alignment horizontal="center"/>
    </xf>
    <xf numFmtId="3" fontId="0" fillId="5" borderId="1" xfId="0" applyNumberFormat="1" applyFill="1" applyBorder="1" applyAlignment="1">
      <alignment horizontal="center" vertical="center" wrapText="1"/>
    </xf>
    <xf numFmtId="0" fontId="0" fillId="5" borderId="1" xfId="0" applyFill="1" applyBorder="1" applyAlignment="1">
      <alignment horizontal="center"/>
    </xf>
    <xf numFmtId="0" fontId="0" fillId="5" borderId="1" xfId="0" applyFill="1" applyBorder="1" applyAlignment="1">
      <alignment horizontal="center" vertical="center"/>
    </xf>
    <xf numFmtId="3" fontId="0" fillId="5" borderId="1" xfId="0" applyNumberFormat="1" applyFill="1" applyBorder="1" applyAlignment="1">
      <alignment horizontal="center" vertical="center"/>
    </xf>
    <xf numFmtId="3" fontId="0" fillId="5" borderId="1" xfId="0" applyNumberFormat="1" applyFont="1" applyFill="1" applyBorder="1" applyAlignment="1">
      <alignment horizontal="center" vertical="center" wrapText="1"/>
    </xf>
    <xf numFmtId="3" fontId="0" fillId="5" borderId="1" xfId="0" applyNumberFormat="1" applyFont="1" applyFill="1" applyBorder="1" applyAlignment="1">
      <alignment horizontal="center"/>
    </xf>
    <xf numFmtId="165" fontId="0" fillId="5" borderId="1" xfId="0" applyNumberFormat="1" applyFont="1" applyFill="1" applyBorder="1" applyAlignment="1">
      <alignment horizontal="center" vertical="center"/>
    </xf>
    <xf numFmtId="3" fontId="0" fillId="5" borderId="1" xfId="0" applyNumberFormat="1" applyFont="1" applyFill="1" applyBorder="1" applyAlignment="1">
      <alignment horizontal="center" vertical="center"/>
    </xf>
    <xf numFmtId="2" fontId="0" fillId="5" borderId="1" xfId="0" applyNumberFormat="1" applyFill="1" applyBorder="1" applyAlignment="1">
      <alignment horizontal="center"/>
    </xf>
    <xf numFmtId="3" fontId="0" fillId="0" borderId="10" xfId="0" applyNumberFormat="1" applyBorder="1"/>
    <xf numFmtId="3" fontId="0" fillId="0" borderId="10" xfId="0" applyNumberFormat="1" applyFill="1" applyBorder="1"/>
    <xf numFmtId="0" fontId="2" fillId="0" borderId="2" xfId="0" applyFont="1" applyBorder="1"/>
    <xf numFmtId="0" fontId="0" fillId="0" borderId="5" xfId="0" applyFont="1" applyBorder="1"/>
    <xf numFmtId="0" fontId="0" fillId="0" borderId="13" xfId="0" applyBorder="1"/>
    <xf numFmtId="0" fontId="0" fillId="0" borderId="15" xfId="0" applyBorder="1"/>
    <xf numFmtId="0" fontId="0" fillId="0" borderId="5" xfId="0" applyBorder="1" applyAlignment="1">
      <alignment horizontal="center"/>
    </xf>
    <xf numFmtId="0" fontId="3" fillId="0" borderId="5" xfId="0" quotePrefix="1" applyFont="1" applyBorder="1" applyAlignment="1">
      <alignment horizontal="center"/>
    </xf>
    <xf numFmtId="0" fontId="3" fillId="0" borderId="14" xfId="0" quotePrefix="1" applyFont="1" applyBorder="1" applyAlignment="1">
      <alignment horizontal="center"/>
    </xf>
    <xf numFmtId="0" fontId="0" fillId="0" borderId="14" xfId="0" applyBorder="1" applyAlignment="1">
      <alignment horizontal="center"/>
    </xf>
    <xf numFmtId="3" fontId="0" fillId="4" borderId="1" xfId="0" applyNumberFormat="1" applyFill="1" applyBorder="1" applyAlignment="1">
      <alignment horizontal="center"/>
    </xf>
    <xf numFmtId="3" fontId="0" fillId="4" borderId="1" xfId="0" quotePrefix="1" applyNumberFormat="1" applyFill="1" applyBorder="1" applyAlignment="1">
      <alignment horizontal="center"/>
    </xf>
    <xf numFmtId="3" fontId="1" fillId="4" borderId="1" xfId="0" applyNumberFormat="1" applyFont="1" applyFill="1" applyBorder="1" applyAlignment="1">
      <alignment horizontal="center"/>
    </xf>
    <xf numFmtId="3" fontId="0" fillId="4" borderId="1" xfId="0" applyNumberFormat="1" applyFont="1" applyFill="1" applyBorder="1" applyAlignment="1">
      <alignment horizontal="center"/>
    </xf>
    <xf numFmtId="0" fontId="14" fillId="0" borderId="0" xfId="0" applyFont="1"/>
    <xf numFmtId="3" fontId="22" fillId="0" borderId="0" xfId="0" applyNumberFormat="1" applyFont="1"/>
    <xf numFmtId="0" fontId="22" fillId="0" borderId="0" xfId="0" applyFont="1"/>
    <xf numFmtId="0" fontId="22" fillId="0" borderId="0" xfId="0" applyFont="1" applyAlignment="1"/>
    <xf numFmtId="9" fontId="24" fillId="0" borderId="0" xfId="3" applyFont="1" applyAlignment="1">
      <alignment horizontal="center"/>
    </xf>
    <xf numFmtId="9" fontId="24" fillId="0" borderId="0" xfId="3" applyFont="1" applyAlignment="1">
      <alignment horizontal="right"/>
    </xf>
    <xf numFmtId="0" fontId="21" fillId="0" borderId="0" xfId="0" applyFont="1" applyAlignment="1"/>
    <xf numFmtId="0" fontId="0" fillId="0" borderId="5" xfId="0" applyBorder="1" applyAlignment="1">
      <alignment vertical="center"/>
    </xf>
    <xf numFmtId="0" fontId="14" fillId="0" borderId="5" xfId="0" applyFont="1" applyBorder="1" applyAlignment="1">
      <alignment vertical="center"/>
    </xf>
    <xf numFmtId="0" fontId="0" fillId="0" borderId="0" xfId="0" applyBorder="1" applyAlignment="1">
      <alignment horizontal="left" vertical="center" wrapText="1"/>
    </xf>
    <xf numFmtId="0" fontId="0" fillId="0" borderId="0" xfId="0" applyBorder="1" applyAlignment="1">
      <alignment horizontal="left"/>
    </xf>
    <xf numFmtId="3" fontId="0" fillId="0" borderId="0" xfId="0" applyNumberFormat="1" applyFill="1" applyBorder="1"/>
    <xf numFmtId="3" fontId="0" fillId="0" borderId="0" xfId="0" quotePrefix="1" applyNumberFormat="1" applyFill="1" applyBorder="1" applyAlignment="1">
      <alignment horizontal="center"/>
    </xf>
    <xf numFmtId="0" fontId="0" fillId="0" borderId="0" xfId="0" applyBorder="1" applyAlignment="1">
      <alignment vertical="center"/>
    </xf>
    <xf numFmtId="0" fontId="0" fillId="0" borderId="0" xfId="0" applyFill="1" applyBorder="1" applyAlignment="1">
      <alignment horizontal="center" vertical="center"/>
    </xf>
    <xf numFmtId="3" fontId="0" fillId="0" borderId="0" xfId="0" applyNumberFormat="1" applyFill="1" applyBorder="1" applyAlignment="1">
      <alignment horizontal="center" vertical="center"/>
    </xf>
    <xf numFmtId="0" fontId="0" fillId="0" borderId="1" xfId="0" applyFill="1" applyBorder="1"/>
    <xf numFmtId="3" fontId="0" fillId="0" borderId="1" xfId="0" applyNumberFormat="1" applyFill="1" applyBorder="1" applyAlignment="1">
      <alignment horizontal="center" vertical="center"/>
    </xf>
    <xf numFmtId="3" fontId="0" fillId="4" borderId="1" xfId="0" applyNumberFormat="1" applyFill="1" applyBorder="1" applyAlignment="1">
      <alignment horizontal="center" vertical="center"/>
    </xf>
    <xf numFmtId="0" fontId="0" fillId="4" borderId="1" xfId="0" applyFill="1" applyBorder="1" applyAlignment="1">
      <alignment horizontal="center" vertical="center"/>
    </xf>
    <xf numFmtId="0" fontId="14" fillId="0" borderId="0" xfId="0" applyFont="1" applyFill="1" applyBorder="1"/>
    <xf numFmtId="0" fontId="0" fillId="0" borderId="0" xfId="0" applyBorder="1" applyAlignment="1">
      <alignment horizontal="center"/>
    </xf>
    <xf numFmtId="3" fontId="0" fillId="0" borderId="0" xfId="0" applyNumberFormat="1" applyFill="1" applyBorder="1" applyAlignment="1">
      <alignment horizontal="center"/>
    </xf>
    <xf numFmtId="0" fontId="9" fillId="0" borderId="0" xfId="0" applyFont="1" applyBorder="1"/>
    <xf numFmtId="0" fontId="0" fillId="0" borderId="0" xfId="0" applyAlignment="1">
      <alignment vertical="center"/>
    </xf>
    <xf numFmtId="3" fontId="0" fillId="0" borderId="1" xfId="0" applyNumberFormat="1" applyFill="1" applyBorder="1" applyAlignment="1">
      <alignment horizontal="center"/>
    </xf>
    <xf numFmtId="0" fontId="0" fillId="0" borderId="1" xfId="0" applyBorder="1" applyAlignment="1">
      <alignment vertical="center"/>
    </xf>
    <xf numFmtId="0" fontId="0" fillId="0" borderId="1" xfId="0" applyFill="1" applyBorder="1" applyAlignment="1">
      <alignment vertical="center" wrapText="1"/>
    </xf>
    <xf numFmtId="3" fontId="0" fillId="5" borderId="8" xfId="0" applyNumberFormat="1" applyFill="1" applyBorder="1" applyAlignment="1">
      <alignment horizontal="center"/>
    </xf>
    <xf numFmtId="3" fontId="0" fillId="5" borderId="8" xfId="0" applyNumberFormat="1" applyFill="1" applyBorder="1" applyAlignment="1">
      <alignment horizontal="center" vertical="center"/>
    </xf>
    <xf numFmtId="3" fontId="0" fillId="0" borderId="3" xfId="0" applyNumberFormat="1" applyFill="1" applyBorder="1" applyAlignment="1">
      <alignment horizontal="center"/>
    </xf>
    <xf numFmtId="0" fontId="15" fillId="0" borderId="0" xfId="0" applyNumberFormat="1" applyFont="1" applyFill="1" applyBorder="1" applyAlignment="1">
      <alignment horizontal="center" vertical="center"/>
    </xf>
    <xf numFmtId="3" fontId="0" fillId="0" borderId="0" xfId="0" applyNumberFormat="1" applyFill="1" applyBorder="1" applyAlignment="1">
      <alignment horizontal="right"/>
    </xf>
    <xf numFmtId="165" fontId="0" fillId="3" borderId="1" xfId="0" applyNumberFormat="1" applyFill="1" applyBorder="1" applyAlignment="1">
      <alignment horizontal="center" vertical="center"/>
    </xf>
    <xf numFmtId="3" fontId="0" fillId="4" borderId="1" xfId="0" applyNumberFormat="1" applyFill="1" applyBorder="1" applyAlignment="1">
      <alignment horizontal="right"/>
    </xf>
    <xf numFmtId="0" fontId="9" fillId="0" borderId="0" xfId="0" applyFont="1" applyBorder="1" applyAlignment="1">
      <alignment horizontal="left" vertical="center" wrapText="1"/>
    </xf>
    <xf numFmtId="3" fontId="0" fillId="4" borderId="1" xfId="0" quotePrefix="1" applyNumberFormat="1" applyFill="1" applyBorder="1" applyAlignment="1">
      <alignment horizontal="right"/>
    </xf>
    <xf numFmtId="0" fontId="14" fillId="0" borderId="0" xfId="0" applyNumberFormat="1" applyFont="1" applyAlignment="1">
      <alignment horizontal="left"/>
    </xf>
    <xf numFmtId="0" fontId="16" fillId="0" borderId="0" xfId="0" applyFont="1"/>
    <xf numFmtId="0" fontId="0" fillId="0" borderId="3" xfId="0" applyBorder="1" applyAlignment="1">
      <alignment horizontal="left" vertical="center" wrapText="1"/>
    </xf>
    <xf numFmtId="0" fontId="0" fillId="0" borderId="3" xfId="0" applyBorder="1" applyAlignment="1">
      <alignment horizontal="left" vertical="center"/>
    </xf>
    <xf numFmtId="3" fontId="0" fillId="0" borderId="6" xfId="0" applyNumberFormat="1" applyFill="1" applyBorder="1" applyAlignment="1">
      <alignment vertical="center"/>
    </xf>
    <xf numFmtId="0" fontId="0" fillId="0" borderId="6" xfId="0" applyBorder="1" applyAlignment="1">
      <alignment horizontal="left" vertical="center"/>
    </xf>
    <xf numFmtId="3" fontId="0" fillId="0" borderId="3" xfId="0" applyNumberFormat="1" applyFill="1" applyBorder="1" applyAlignment="1">
      <alignment vertical="center"/>
    </xf>
    <xf numFmtId="0" fontId="9" fillId="0" borderId="6" xfId="0" applyFont="1" applyBorder="1" applyAlignment="1">
      <alignment horizontal="left" vertical="center" wrapText="1"/>
    </xf>
    <xf numFmtId="0" fontId="21" fillId="0" borderId="0" xfId="0" applyFont="1" applyAlignment="1">
      <alignment wrapText="1"/>
    </xf>
    <xf numFmtId="0" fontId="14" fillId="0" borderId="0" xfId="0" applyFont="1" applyAlignment="1">
      <alignment vertical="center"/>
    </xf>
    <xf numFmtId="3" fontId="1" fillId="0" borderId="1" xfId="0" applyNumberFormat="1" applyFont="1" applyFill="1" applyBorder="1" applyAlignment="1">
      <alignment horizontal="center"/>
    </xf>
    <xf numFmtId="0" fontId="10" fillId="0" borderId="0" xfId="0" applyFont="1" applyAlignment="1">
      <alignment horizontal="left" vertical="top" wrapText="1"/>
    </xf>
    <xf numFmtId="4" fontId="0" fillId="4" borderId="1" xfId="0" applyNumberFormat="1" applyFill="1" applyBorder="1" applyAlignment="1">
      <alignment horizontal="right"/>
    </xf>
    <xf numFmtId="2" fontId="0" fillId="4" borderId="1" xfId="0" applyNumberFormat="1" applyFill="1" applyBorder="1" applyAlignment="1">
      <alignment horizontal="right"/>
    </xf>
    <xf numFmtId="1" fontId="0" fillId="4" borderId="1" xfId="0" applyNumberFormat="1" applyFill="1" applyBorder="1" applyAlignment="1">
      <alignment horizontal="right"/>
    </xf>
    <xf numFmtId="0" fontId="10" fillId="0" borderId="0" xfId="0" applyFont="1"/>
    <xf numFmtId="0" fontId="10" fillId="0" borderId="0" xfId="0" applyFont="1" applyAlignment="1"/>
    <xf numFmtId="3" fontId="0" fillId="4" borderId="9" xfId="0" applyNumberFormat="1" applyFill="1" applyBorder="1"/>
    <xf numFmtId="0" fontId="0" fillId="0" borderId="5" xfId="0" quotePrefix="1" applyBorder="1"/>
    <xf numFmtId="0" fontId="0" fillId="0" borderId="14" xfId="0" applyBorder="1"/>
    <xf numFmtId="0" fontId="25" fillId="0" borderId="0" xfId="0" applyFont="1"/>
    <xf numFmtId="0" fontId="19" fillId="3" borderId="1" xfId="0" applyFont="1" applyFill="1" applyBorder="1" applyAlignment="1">
      <alignment horizontal="left" vertical="center" wrapText="1"/>
    </xf>
    <xf numFmtId="3" fontId="0" fillId="3" borderId="1" xfId="0" applyNumberFormat="1" applyFill="1" applyBorder="1" applyAlignment="1" applyProtection="1">
      <alignment vertical="center"/>
      <protection locked="0"/>
    </xf>
    <xf numFmtId="0" fontId="0" fillId="0" borderId="1" xfId="0" applyBorder="1" applyAlignment="1">
      <alignment horizontal="left"/>
    </xf>
    <xf numFmtId="0" fontId="0" fillId="0" borderId="8" xfId="0" applyBorder="1" applyAlignment="1">
      <alignment horizontal="left"/>
    </xf>
    <xf numFmtId="0" fontId="0" fillId="0" borderId="10" xfId="0" applyBorder="1" applyAlignment="1">
      <alignment horizontal="left"/>
    </xf>
    <xf numFmtId="0" fontId="0" fillId="0" borderId="7" xfId="0" applyBorder="1" applyAlignment="1">
      <alignment horizontal="left"/>
    </xf>
    <xf numFmtId="0" fontId="1" fillId="6" borderId="1" xfId="0" applyFont="1" applyFill="1" applyBorder="1" applyAlignment="1">
      <alignment horizontal="center" vertical="center" wrapText="1"/>
    </xf>
    <xf numFmtId="0" fontId="0" fillId="0" borderId="1" xfId="0" applyBorder="1" applyAlignment="1">
      <alignment horizontal="center" vertical="center" wrapText="1"/>
    </xf>
    <xf numFmtId="0" fontId="1" fillId="6" borderId="8" xfId="0" applyFont="1" applyFill="1" applyBorder="1" applyAlignment="1">
      <alignment horizontal="center" vertical="center" wrapText="1"/>
    </xf>
    <xf numFmtId="0" fontId="1" fillId="6" borderId="10" xfId="0" applyFont="1" applyFill="1" applyBorder="1" applyAlignment="1">
      <alignment horizontal="center" vertical="center" wrapText="1"/>
    </xf>
    <xf numFmtId="0" fontId="1" fillId="6" borderId="7" xfId="0" applyFont="1" applyFill="1" applyBorder="1" applyAlignment="1">
      <alignment horizontal="center" vertical="center" wrapText="1"/>
    </xf>
    <xf numFmtId="0" fontId="0" fillId="3" borderId="9" xfId="0" applyFill="1" applyBorder="1" applyAlignment="1">
      <alignment horizontal="center" vertical="center"/>
    </xf>
    <xf numFmtId="0" fontId="0" fillId="3" borderId="11" xfId="0" applyFill="1" applyBorder="1" applyAlignment="1">
      <alignment horizontal="center" vertical="center"/>
    </xf>
    <xf numFmtId="0" fontId="0" fillId="3" borderId="12" xfId="0" applyFill="1" applyBorder="1" applyAlignment="1">
      <alignment horizontal="center" vertical="center"/>
    </xf>
    <xf numFmtId="3" fontId="0" fillId="0" borderId="2" xfId="0" applyNumberFormat="1" applyFill="1" applyBorder="1" applyAlignment="1">
      <alignment horizontal="left" vertical="top" wrapText="1"/>
    </xf>
    <xf numFmtId="3" fontId="0" fillId="0" borderId="3" xfId="0" applyNumberFormat="1" applyFill="1" applyBorder="1" applyAlignment="1">
      <alignment horizontal="left" vertical="top" wrapText="1"/>
    </xf>
    <xf numFmtId="3" fontId="0" fillId="0" borderId="4" xfId="0" applyNumberFormat="1" applyFill="1" applyBorder="1" applyAlignment="1">
      <alignment horizontal="left" vertical="top" wrapText="1"/>
    </xf>
    <xf numFmtId="3" fontId="0" fillId="0" borderId="5" xfId="0" applyNumberFormat="1" applyFill="1" applyBorder="1" applyAlignment="1">
      <alignment horizontal="left" vertical="top" wrapText="1"/>
    </xf>
    <xf numFmtId="3" fontId="0" fillId="0" borderId="0" xfId="0" applyNumberFormat="1" applyFill="1" applyBorder="1" applyAlignment="1">
      <alignment horizontal="left" vertical="top" wrapText="1"/>
    </xf>
    <xf numFmtId="3" fontId="0" fillId="0" borderId="13" xfId="0" applyNumberFormat="1" applyFill="1" applyBorder="1" applyAlignment="1">
      <alignment horizontal="left" vertical="top" wrapText="1"/>
    </xf>
    <xf numFmtId="3" fontId="0" fillId="0" borderId="14" xfId="0" applyNumberFormat="1" applyFill="1" applyBorder="1" applyAlignment="1">
      <alignment horizontal="left" vertical="top" wrapText="1"/>
    </xf>
    <xf numFmtId="3" fontId="0" fillId="0" borderId="6" xfId="0" applyNumberFormat="1" applyFill="1" applyBorder="1" applyAlignment="1">
      <alignment horizontal="left" vertical="top" wrapText="1"/>
    </xf>
    <xf numFmtId="3" fontId="0" fillId="0" borderId="15" xfId="0" applyNumberFormat="1" applyFill="1" applyBorder="1" applyAlignment="1">
      <alignment horizontal="left" vertical="top" wrapText="1"/>
    </xf>
    <xf numFmtId="3" fontId="9" fillId="0" borderId="8" xfId="0" applyNumberFormat="1" applyFont="1" applyFill="1" applyBorder="1" applyAlignment="1">
      <alignment horizontal="left" vertical="center"/>
    </xf>
    <xf numFmtId="3" fontId="9" fillId="0" borderId="10" xfId="0" applyNumberFormat="1" applyFont="1" applyFill="1" applyBorder="1" applyAlignment="1">
      <alignment horizontal="left" vertical="center"/>
    </xf>
    <xf numFmtId="3" fontId="9" fillId="0" borderId="7" xfId="0" applyNumberFormat="1" applyFont="1" applyFill="1" applyBorder="1" applyAlignment="1">
      <alignment horizontal="left" vertical="center"/>
    </xf>
    <xf numFmtId="0" fontId="9" fillId="0" borderId="8" xfId="0" applyFont="1" applyBorder="1" applyAlignment="1">
      <alignment horizontal="left"/>
    </xf>
    <xf numFmtId="0" fontId="9" fillId="0" borderId="10" xfId="0" applyFont="1" applyBorder="1" applyAlignment="1">
      <alignment horizontal="left"/>
    </xf>
    <xf numFmtId="0" fontId="9" fillId="0" borderId="7" xfId="0" applyFont="1" applyBorder="1" applyAlignment="1">
      <alignment horizontal="left"/>
    </xf>
    <xf numFmtId="0" fontId="1" fillId="0" borderId="9" xfId="0" applyFont="1" applyBorder="1" applyAlignment="1">
      <alignment horizontal="center" vertical="center"/>
    </xf>
    <xf numFmtId="0" fontId="1" fillId="0" borderId="12" xfId="0" applyFont="1" applyBorder="1" applyAlignment="1">
      <alignment horizontal="center" vertical="center"/>
    </xf>
    <xf numFmtId="0" fontId="0" fillId="0" borderId="1" xfId="0" applyBorder="1" applyAlignment="1">
      <alignment horizontal="left" vertical="center"/>
    </xf>
    <xf numFmtId="0" fontId="0" fillId="0" borderId="9" xfId="0" applyBorder="1" applyAlignment="1">
      <alignment horizontal="center"/>
    </xf>
    <xf numFmtId="0" fontId="0" fillId="0" borderId="12" xfId="0" applyBorder="1" applyAlignment="1">
      <alignment horizontal="center"/>
    </xf>
    <xf numFmtId="0" fontId="0" fillId="0" borderId="2" xfId="0" applyBorder="1" applyAlignment="1">
      <alignment horizontal="center"/>
    </xf>
    <xf numFmtId="0" fontId="0" fillId="0" borderId="4"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8" xfId="0" applyFont="1" applyBorder="1" applyAlignment="1">
      <alignment horizontal="center"/>
    </xf>
    <xf numFmtId="0" fontId="0" fillId="0" borderId="10" xfId="0" applyFont="1" applyBorder="1" applyAlignment="1">
      <alignment horizontal="center"/>
    </xf>
    <xf numFmtId="0" fontId="0" fillId="0" borderId="7" xfId="0" applyFont="1" applyBorder="1" applyAlignment="1">
      <alignment horizontal="center"/>
    </xf>
    <xf numFmtId="0" fontId="9" fillId="0" borderId="8" xfId="0" applyFont="1" applyBorder="1" applyAlignment="1">
      <alignment horizontal="left" vertical="center"/>
    </xf>
    <xf numFmtId="0" fontId="9" fillId="0" borderId="10" xfId="0" applyFont="1" applyBorder="1" applyAlignment="1">
      <alignment horizontal="left" vertical="center"/>
    </xf>
    <xf numFmtId="0" fontId="9" fillId="0" borderId="7" xfId="0" applyFont="1" applyBorder="1" applyAlignment="1">
      <alignment horizontal="left" vertical="center"/>
    </xf>
    <xf numFmtId="3" fontId="0" fillId="4" borderId="8" xfId="0" applyNumberFormat="1" applyFill="1" applyBorder="1" applyAlignment="1">
      <alignment horizontal="center" vertical="center" wrapText="1"/>
    </xf>
    <xf numFmtId="3" fontId="0" fillId="4" borderId="7" xfId="0" applyNumberFormat="1" applyFill="1" applyBorder="1" applyAlignment="1">
      <alignment horizontal="center" vertical="center" wrapText="1"/>
    </xf>
    <xf numFmtId="0" fontId="0" fillId="0" borderId="1" xfId="0" applyBorder="1" applyAlignment="1">
      <alignment horizontal="left" vertical="center" wrapText="1"/>
    </xf>
    <xf numFmtId="0" fontId="0" fillId="4" borderId="1" xfId="0" applyFill="1" applyBorder="1" applyAlignment="1">
      <alignment horizontal="center"/>
    </xf>
    <xf numFmtId="0" fontId="21" fillId="0" borderId="0" xfId="0" applyFont="1" applyAlignment="1">
      <alignment horizontal="center" wrapText="1"/>
    </xf>
    <xf numFmtId="0" fontId="21" fillId="0" borderId="0" xfId="0" applyFont="1" applyAlignment="1">
      <alignment horizontal="center"/>
    </xf>
    <xf numFmtId="0" fontId="24" fillId="0" borderId="0" xfId="0" applyFont="1" applyAlignment="1">
      <alignment horizontal="center"/>
    </xf>
    <xf numFmtId="0" fontId="20" fillId="0" borderId="0" xfId="0" applyFont="1" applyAlignment="1">
      <alignment horizontal="center"/>
    </xf>
  </cellXfs>
  <cellStyles count="4">
    <cellStyle name="Hyperlink" xfId="2" builtinId="8"/>
    <cellStyle name="Komma" xfId="1" builtinId="3"/>
    <cellStyle name="Procent" xfId="3" builtinId="5"/>
    <cellStyle name="Standaard" xfId="0" builtinId="0"/>
  </cellStyles>
  <dxfs count="0"/>
  <tableStyles count="0" defaultTableStyle="TableStyleMedium2" defaultPivotStyle="PivotStyleLight16"/>
  <colors>
    <mruColors>
      <color rgb="FFD9D9D9"/>
      <color rgb="FF5959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AT"/>
              <a:t>Running</a:t>
            </a:r>
            <a:r>
              <a:rPr lang="de-AT" baseline="0"/>
              <a:t> costs of biogas production [€/a]</a:t>
            </a:r>
            <a:endParaRPr lang="de-AT"/>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BE"/>
        </a:p>
      </c:txPr>
    </c:title>
    <c:autoTitleDeleted val="0"/>
    <c:plotArea>
      <c:layout/>
      <c:pieChart>
        <c:varyColors val="1"/>
        <c:ser>
          <c:idx val="0"/>
          <c:order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6"/>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nl-BE"/>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Results!$A$21:$A$25</c:f>
              <c:strCache>
                <c:ptCount val="5"/>
                <c:pt idx="0">
                  <c:v>operating costs</c:v>
                </c:pt>
                <c:pt idx="1">
                  <c:v>costs for substrate</c:v>
                </c:pt>
                <c:pt idx="2">
                  <c:v>insurance</c:v>
                </c:pt>
                <c:pt idx="3">
                  <c:v>labour costs</c:v>
                </c:pt>
                <c:pt idx="4">
                  <c:v>leasing costs</c:v>
                </c:pt>
              </c:strCache>
            </c:strRef>
          </c:cat>
          <c:val>
            <c:numRef>
              <c:f>Results!$B$21:$B$25</c:f>
              <c:numCache>
                <c:formatCode>#,##0</c:formatCode>
                <c:ptCount val="5"/>
                <c:pt idx="0">
                  <c:v>116603.37903101025</c:v>
                </c:pt>
                <c:pt idx="1">
                  <c:v>0</c:v>
                </c:pt>
                <c:pt idx="2">
                  <c:v>11479</c:v>
                </c:pt>
                <c:pt idx="3">
                  <c:v>18116</c:v>
                </c:pt>
                <c:pt idx="4">
                  <c:v>440547.14786975889</c:v>
                </c:pt>
              </c:numCache>
            </c:numRef>
          </c:val>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75382138981425395"/>
          <c:y val="0.34979012706638302"/>
          <c:w val="0.20210809736523319"/>
          <c:h val="0.41177271214977768"/>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nl-BE"/>
        </a:p>
      </c:txPr>
    </c:legend>
    <c:plotVisOnly val="1"/>
    <c:dispBlanksAs val="gap"/>
    <c:showDLblsOverMax val="0"/>
  </c:chart>
  <c:spPr>
    <a:solidFill>
      <a:schemeClr val="bg1"/>
    </a:solidFill>
    <a:ln w="19050" cap="flat" cmpd="sng" algn="ctr">
      <a:solidFill>
        <a:schemeClr val="tx1">
          <a:lumMod val="15000"/>
          <a:lumOff val="85000"/>
        </a:schemeClr>
      </a:solidFill>
      <a:round/>
    </a:ln>
    <a:effectLst/>
  </c:spPr>
  <c:txPr>
    <a:bodyPr/>
    <a:lstStyle/>
    <a:p>
      <a:pPr>
        <a:defRPr/>
      </a:pPr>
      <a:endParaRPr lang="nl-B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AT"/>
              <a:t>Production costs</a:t>
            </a:r>
            <a:r>
              <a:rPr lang="de-AT" baseline="0"/>
              <a:t> at different process steps [€/m³]</a:t>
            </a:r>
            <a:endParaRPr lang="de-AT"/>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BE"/>
        </a:p>
      </c:txPr>
    </c:title>
    <c:autoTitleDeleted val="0"/>
    <c:plotArea>
      <c:layout/>
      <c:barChart>
        <c:barDir val="col"/>
        <c:grouping val="clustered"/>
        <c:varyColors val="0"/>
        <c:ser>
          <c:idx val="0"/>
          <c:order val="0"/>
          <c:tx>
            <c:v>raw biogas</c:v>
          </c:tx>
          <c:spPr>
            <a:solidFill>
              <a:schemeClr val="accent1"/>
            </a:solidFill>
            <a:ln>
              <a:noFill/>
            </a:ln>
            <a:effectLst/>
          </c:spPr>
          <c:invertIfNegative val="0"/>
          <c:val>
            <c:numRef>
              <c:f>Results!$B$32</c:f>
              <c:numCache>
                <c:formatCode>#,##0.00</c:formatCode>
                <c:ptCount val="1"/>
                <c:pt idx="0">
                  <c:v>0.31451214082619217</c:v>
                </c:pt>
              </c:numCache>
            </c:numRef>
          </c:val>
        </c:ser>
        <c:ser>
          <c:idx val="1"/>
          <c:order val="1"/>
          <c:tx>
            <c:v>biomethane after upgrading</c:v>
          </c:tx>
          <c:spPr>
            <a:solidFill>
              <a:schemeClr val="accent2"/>
            </a:solidFill>
            <a:ln>
              <a:noFill/>
            </a:ln>
            <a:effectLst/>
          </c:spPr>
          <c:invertIfNegative val="0"/>
          <c:val>
            <c:numRef>
              <c:f>Results!$B$55</c:f>
              <c:numCache>
                <c:formatCode>#,##0.00</c:formatCode>
                <c:ptCount val="1"/>
                <c:pt idx="0">
                  <c:v>0.76532556410097397</c:v>
                </c:pt>
              </c:numCache>
            </c:numRef>
          </c:val>
        </c:ser>
        <c:ser>
          <c:idx val="4"/>
          <c:order val="2"/>
          <c:tx>
            <c:v>biomethane distributed with mobile storage systems</c:v>
          </c:tx>
          <c:spPr>
            <a:solidFill>
              <a:schemeClr val="accent3"/>
            </a:solidFill>
            <a:ln>
              <a:noFill/>
            </a:ln>
            <a:effectLst/>
          </c:spPr>
          <c:invertIfNegative val="0"/>
          <c:val>
            <c:numRef>
              <c:f>Results!$B$74</c:f>
              <c:numCache>
                <c:formatCode>#,##0.00</c:formatCode>
                <c:ptCount val="1"/>
                <c:pt idx="0">
                  <c:v>0.92373863833020553</c:v>
                </c:pt>
              </c:numCache>
            </c:numRef>
          </c:val>
        </c:ser>
        <c:ser>
          <c:idx val="2"/>
          <c:order val="3"/>
          <c:tx>
            <c:v>biomethane at grid injection</c:v>
          </c:tx>
          <c:spPr>
            <a:solidFill>
              <a:schemeClr val="accent4"/>
            </a:solidFill>
            <a:ln>
              <a:noFill/>
            </a:ln>
            <a:effectLst/>
          </c:spPr>
          <c:invertIfNegative val="0"/>
          <c:val>
            <c:numRef>
              <c:f>Results!$B$93</c:f>
              <c:numCache>
                <c:formatCode>#,##0.00</c:formatCode>
                <c:ptCount val="1"/>
                <c:pt idx="0">
                  <c:v>0.83236925966587216</c:v>
                </c:pt>
              </c:numCache>
            </c:numRef>
          </c:val>
        </c:ser>
        <c:ser>
          <c:idx val="3"/>
          <c:order val="4"/>
          <c:tx>
            <c:v>biomethane at fuel dispenser</c:v>
          </c:tx>
          <c:spPr>
            <a:solidFill>
              <a:schemeClr val="accent6"/>
            </a:solidFill>
            <a:ln>
              <a:noFill/>
            </a:ln>
            <a:effectLst/>
          </c:spPr>
          <c:invertIfNegative val="0"/>
          <c:val>
            <c:numRef>
              <c:f>Results!$B$111</c:f>
              <c:numCache>
                <c:formatCode>0.00</c:formatCode>
                <c:ptCount val="1"/>
                <c:pt idx="0">
                  <c:v>0.90686199764624242</c:v>
                </c:pt>
              </c:numCache>
            </c:numRef>
          </c:val>
        </c:ser>
        <c:dLbls>
          <c:showLegendKey val="0"/>
          <c:showVal val="0"/>
          <c:showCatName val="0"/>
          <c:showSerName val="0"/>
          <c:showPercent val="0"/>
          <c:showBubbleSize val="0"/>
        </c:dLbls>
        <c:gapWidth val="219"/>
        <c:overlap val="-27"/>
        <c:axId val="435847776"/>
        <c:axId val="435848560"/>
      </c:barChart>
      <c:catAx>
        <c:axId val="435847776"/>
        <c:scaling>
          <c:orientation val="minMax"/>
        </c:scaling>
        <c:delete val="1"/>
        <c:axPos val="b"/>
        <c:majorTickMark val="none"/>
        <c:minorTickMark val="none"/>
        <c:tickLblPos val="nextTo"/>
        <c:crossAx val="435848560"/>
        <c:crosses val="autoZero"/>
        <c:auto val="1"/>
        <c:lblAlgn val="ctr"/>
        <c:lblOffset val="100"/>
        <c:noMultiLvlLbl val="0"/>
      </c:catAx>
      <c:valAx>
        <c:axId val="43584856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nl-BE"/>
          </a:p>
        </c:txPr>
        <c:crossAx val="435847776"/>
        <c:crosses val="autoZero"/>
        <c:crossBetween val="between"/>
      </c:valAx>
      <c:spPr>
        <a:noFill/>
        <a:ln>
          <a:noFill/>
        </a:ln>
        <a:effectLst/>
      </c:spPr>
    </c:plotArea>
    <c:legend>
      <c:legendPos val="r"/>
      <c:layout>
        <c:manualLayout>
          <c:xMode val="edge"/>
          <c:yMode val="edge"/>
          <c:x val="0.65991216350663751"/>
          <c:y val="0.25911229249210088"/>
          <c:w val="0.32805414214919887"/>
          <c:h val="0.5925606432953842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nl-BE"/>
        </a:p>
      </c:txPr>
    </c:legend>
    <c:plotVisOnly val="1"/>
    <c:dispBlanksAs val="gap"/>
    <c:showDLblsOverMax val="0"/>
  </c:chart>
  <c:spPr>
    <a:solidFill>
      <a:schemeClr val="bg1"/>
    </a:solidFill>
    <a:ln w="19050" cap="flat" cmpd="sng" algn="ctr">
      <a:solidFill>
        <a:schemeClr val="tx1">
          <a:lumMod val="15000"/>
          <a:lumOff val="85000"/>
        </a:schemeClr>
      </a:solidFill>
      <a:round/>
    </a:ln>
    <a:effectLst/>
  </c:spPr>
  <c:txPr>
    <a:bodyPr/>
    <a:lstStyle/>
    <a:p>
      <a:pPr>
        <a:defRPr/>
      </a:pPr>
      <a:endParaRPr lang="nl-BE"/>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AT"/>
              <a:t>Investment</a:t>
            </a:r>
            <a:r>
              <a:rPr lang="de-AT" baseline="0"/>
              <a:t> costs [€]</a:t>
            </a:r>
            <a:endParaRPr lang="de-AT"/>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BE"/>
        </a:p>
      </c:txPr>
    </c:title>
    <c:autoTitleDeleted val="0"/>
    <c:plotArea>
      <c:layout/>
      <c:barChart>
        <c:barDir val="col"/>
        <c:grouping val="clustered"/>
        <c:varyColors val="0"/>
        <c:ser>
          <c:idx val="0"/>
          <c:order val="0"/>
          <c:tx>
            <c:v>biogas plant</c:v>
          </c:tx>
          <c:spPr>
            <a:solidFill>
              <a:schemeClr val="accent1"/>
            </a:solidFill>
            <a:ln>
              <a:noFill/>
            </a:ln>
            <a:effectLst/>
          </c:spPr>
          <c:invertIfNegative val="0"/>
          <c:val>
            <c:numRef>
              <c:f>Results!$B$19</c:f>
              <c:numCache>
                <c:formatCode>#,##0</c:formatCode>
                <c:ptCount val="1"/>
                <c:pt idx="0">
                  <c:v>4803799.7249336559</c:v>
                </c:pt>
              </c:numCache>
            </c:numRef>
          </c:val>
        </c:ser>
        <c:ser>
          <c:idx val="1"/>
          <c:order val="1"/>
          <c:tx>
            <c:v>gas upgrading</c:v>
          </c:tx>
          <c:spPr>
            <a:solidFill>
              <a:schemeClr val="accent2"/>
            </a:solidFill>
            <a:ln>
              <a:noFill/>
            </a:ln>
            <a:effectLst/>
          </c:spPr>
          <c:invertIfNegative val="0"/>
          <c:val>
            <c:numRef>
              <c:f>Results!$B$48</c:f>
              <c:numCache>
                <c:formatCode>#,##0</c:formatCode>
                <c:ptCount val="1"/>
                <c:pt idx="0">
                  <c:v>881399.3260273973</c:v>
                </c:pt>
              </c:numCache>
            </c:numRef>
          </c:val>
        </c:ser>
        <c:ser>
          <c:idx val="4"/>
          <c:order val="2"/>
          <c:tx>
            <c:v>mobile CNG storage systems</c:v>
          </c:tx>
          <c:spPr>
            <a:solidFill>
              <a:schemeClr val="accent3"/>
            </a:solidFill>
            <a:ln>
              <a:noFill/>
            </a:ln>
            <a:effectLst/>
          </c:spPr>
          <c:invertIfNegative val="0"/>
          <c:val>
            <c:numRef>
              <c:f>Results!$B$68</c:f>
              <c:numCache>
                <c:formatCode>#,##0</c:formatCode>
                <c:ptCount val="1"/>
                <c:pt idx="0">
                  <c:v>210000</c:v>
                </c:pt>
              </c:numCache>
            </c:numRef>
          </c:val>
        </c:ser>
        <c:ser>
          <c:idx val="2"/>
          <c:order val="3"/>
          <c:tx>
            <c:v>grid injection</c:v>
          </c:tx>
          <c:spPr>
            <a:solidFill>
              <a:schemeClr val="accent4"/>
            </a:solidFill>
            <a:ln>
              <a:noFill/>
            </a:ln>
            <a:effectLst/>
          </c:spPr>
          <c:invertIfNegative val="0"/>
          <c:val>
            <c:numRef>
              <c:f>Results!$B$86</c:f>
              <c:numCache>
                <c:formatCode>#,##0</c:formatCode>
                <c:ptCount val="1"/>
                <c:pt idx="0">
                  <c:v>122000</c:v>
                </c:pt>
              </c:numCache>
            </c:numRef>
          </c:val>
        </c:ser>
        <c:ser>
          <c:idx val="3"/>
          <c:order val="4"/>
          <c:tx>
            <c:v>filling station</c:v>
          </c:tx>
          <c:spPr>
            <a:solidFill>
              <a:schemeClr val="accent6"/>
            </a:solidFill>
            <a:ln>
              <a:noFill/>
            </a:ln>
            <a:effectLst/>
          </c:spPr>
          <c:invertIfNegative val="0"/>
          <c:val>
            <c:numRef>
              <c:f>Results!$B$105</c:f>
              <c:numCache>
                <c:formatCode>#,##0</c:formatCode>
                <c:ptCount val="1"/>
                <c:pt idx="0">
                  <c:v>237000</c:v>
                </c:pt>
              </c:numCache>
            </c:numRef>
          </c:val>
        </c:ser>
        <c:dLbls>
          <c:showLegendKey val="0"/>
          <c:showVal val="0"/>
          <c:showCatName val="0"/>
          <c:showSerName val="0"/>
          <c:showPercent val="0"/>
          <c:showBubbleSize val="0"/>
        </c:dLbls>
        <c:gapWidth val="219"/>
        <c:overlap val="-27"/>
        <c:axId val="435849344"/>
        <c:axId val="436276240"/>
      </c:barChart>
      <c:catAx>
        <c:axId val="435849344"/>
        <c:scaling>
          <c:orientation val="minMax"/>
        </c:scaling>
        <c:delete val="1"/>
        <c:axPos val="b"/>
        <c:majorTickMark val="none"/>
        <c:minorTickMark val="none"/>
        <c:tickLblPos val="nextTo"/>
        <c:crossAx val="436276240"/>
        <c:crosses val="autoZero"/>
        <c:auto val="1"/>
        <c:lblAlgn val="ctr"/>
        <c:lblOffset val="100"/>
        <c:noMultiLvlLbl val="0"/>
      </c:catAx>
      <c:valAx>
        <c:axId val="4362762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nl-BE"/>
          </a:p>
        </c:txPr>
        <c:crossAx val="43584934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nl-BE"/>
        </a:p>
      </c:txPr>
    </c:legend>
    <c:plotVisOnly val="1"/>
    <c:dispBlanksAs val="gap"/>
    <c:showDLblsOverMax val="0"/>
  </c:chart>
  <c:spPr>
    <a:solidFill>
      <a:schemeClr val="bg1"/>
    </a:solidFill>
    <a:ln w="19050" cap="flat" cmpd="sng" algn="ctr">
      <a:solidFill>
        <a:schemeClr val="tx1">
          <a:lumMod val="15000"/>
          <a:lumOff val="85000"/>
        </a:schemeClr>
      </a:solidFill>
      <a:round/>
    </a:ln>
    <a:effectLst/>
  </c:spPr>
  <c:txPr>
    <a:bodyPr/>
    <a:lstStyle/>
    <a:p>
      <a:pPr>
        <a:defRPr/>
      </a:pPr>
      <a:endParaRPr lang="nl-B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AT"/>
              <a:t>Production costs at different process steps [€/MWh</a:t>
            </a:r>
            <a:r>
              <a:rPr lang="de-AT" baseline="0"/>
              <a:t>]</a:t>
            </a:r>
            <a:endParaRPr lang="de-AT"/>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BE"/>
        </a:p>
      </c:txPr>
    </c:title>
    <c:autoTitleDeleted val="0"/>
    <c:plotArea>
      <c:layout/>
      <c:barChart>
        <c:barDir val="col"/>
        <c:grouping val="clustered"/>
        <c:varyColors val="0"/>
        <c:ser>
          <c:idx val="0"/>
          <c:order val="0"/>
          <c:tx>
            <c:v>raw biogas</c:v>
          </c:tx>
          <c:spPr>
            <a:solidFill>
              <a:schemeClr val="accent1"/>
            </a:solidFill>
            <a:ln>
              <a:noFill/>
            </a:ln>
            <a:effectLst/>
          </c:spPr>
          <c:invertIfNegative val="0"/>
          <c:val>
            <c:numRef>
              <c:f>Results!$B$33</c:f>
              <c:numCache>
                <c:formatCode>#,##0</c:formatCode>
                <c:ptCount val="1"/>
                <c:pt idx="0">
                  <c:v>51.046582964533364</c:v>
                </c:pt>
              </c:numCache>
            </c:numRef>
          </c:val>
        </c:ser>
        <c:ser>
          <c:idx val="1"/>
          <c:order val="1"/>
          <c:tx>
            <c:v>biomethane after upgrading</c:v>
          </c:tx>
          <c:spPr>
            <a:solidFill>
              <a:schemeClr val="accent2"/>
            </a:solidFill>
            <a:ln>
              <a:noFill/>
            </a:ln>
            <a:effectLst/>
          </c:spPr>
          <c:invertIfNegative val="0"/>
          <c:val>
            <c:numRef>
              <c:f>Results!$B$56</c:f>
              <c:numCache>
                <c:formatCode>#,##0</c:formatCode>
                <c:ptCount val="1"/>
                <c:pt idx="0">
                  <c:v>76.762844944932183</c:v>
                </c:pt>
              </c:numCache>
            </c:numRef>
          </c:val>
        </c:ser>
        <c:ser>
          <c:idx val="2"/>
          <c:order val="2"/>
          <c:tx>
            <c:v>biomethane distributed with mobile storage systems</c:v>
          </c:tx>
          <c:spPr>
            <a:solidFill>
              <a:schemeClr val="accent3"/>
            </a:solidFill>
            <a:ln>
              <a:noFill/>
            </a:ln>
            <a:effectLst/>
          </c:spPr>
          <c:invertIfNegative val="0"/>
          <c:val>
            <c:numRef>
              <c:f>Results!$B$75</c:f>
              <c:numCache>
                <c:formatCode>#,##0</c:formatCode>
                <c:ptCount val="1"/>
                <c:pt idx="0">
                  <c:v>92.651819290893215</c:v>
                </c:pt>
              </c:numCache>
            </c:numRef>
          </c:val>
        </c:ser>
        <c:ser>
          <c:idx val="3"/>
          <c:order val="3"/>
          <c:tx>
            <c:v>biomethane at grid injection</c:v>
          </c:tx>
          <c:spPr>
            <a:solidFill>
              <a:schemeClr val="accent4"/>
            </a:solidFill>
            <a:ln>
              <a:noFill/>
            </a:ln>
            <a:effectLst/>
          </c:spPr>
          <c:invertIfNegative val="0"/>
          <c:val>
            <c:numRef>
              <c:f>Results!$B$94</c:f>
              <c:numCache>
                <c:formatCode>#,##0</c:formatCode>
                <c:ptCount val="1"/>
                <c:pt idx="0">
                  <c:v>83.48738813098015</c:v>
                </c:pt>
              </c:numCache>
            </c:numRef>
          </c:val>
        </c:ser>
        <c:ser>
          <c:idx val="4"/>
          <c:order val="4"/>
          <c:tx>
            <c:v>biomethane at fuel dispenser</c:v>
          </c:tx>
          <c:spPr>
            <a:solidFill>
              <a:schemeClr val="accent6"/>
            </a:solidFill>
            <a:ln>
              <a:noFill/>
            </a:ln>
            <a:effectLst/>
          </c:spPr>
          <c:invertIfNegative val="0"/>
          <c:val>
            <c:numRef>
              <c:f>Results!$B$112</c:f>
              <c:numCache>
                <c:formatCode>0</c:formatCode>
                <c:ptCount val="1"/>
                <c:pt idx="0">
                  <c:v>90.959076995611056</c:v>
                </c:pt>
              </c:numCache>
            </c:numRef>
          </c:val>
        </c:ser>
        <c:dLbls>
          <c:showLegendKey val="0"/>
          <c:showVal val="0"/>
          <c:showCatName val="0"/>
          <c:showSerName val="0"/>
          <c:showPercent val="0"/>
          <c:showBubbleSize val="0"/>
        </c:dLbls>
        <c:gapWidth val="219"/>
        <c:overlap val="-27"/>
        <c:axId val="531348064"/>
        <c:axId val="531351592"/>
      </c:barChart>
      <c:catAx>
        <c:axId val="531348064"/>
        <c:scaling>
          <c:orientation val="minMax"/>
        </c:scaling>
        <c:delete val="1"/>
        <c:axPos val="b"/>
        <c:majorTickMark val="none"/>
        <c:minorTickMark val="none"/>
        <c:tickLblPos val="nextTo"/>
        <c:crossAx val="531351592"/>
        <c:crosses val="autoZero"/>
        <c:auto val="1"/>
        <c:lblAlgn val="ctr"/>
        <c:lblOffset val="100"/>
        <c:noMultiLvlLbl val="0"/>
      </c:catAx>
      <c:valAx>
        <c:axId val="5313515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nl-BE"/>
          </a:p>
        </c:txPr>
        <c:crossAx val="531348064"/>
        <c:crosses val="autoZero"/>
        <c:crossBetween val="between"/>
      </c:valAx>
      <c:spPr>
        <a:noFill/>
        <a:ln>
          <a:noFill/>
        </a:ln>
        <a:effectLst/>
      </c:spPr>
    </c:plotArea>
    <c:legend>
      <c:legendPos val="r"/>
      <c:layout>
        <c:manualLayout>
          <c:xMode val="edge"/>
          <c:yMode val="edge"/>
          <c:x val="0.68865295267694426"/>
          <c:y val="0.26017687279535917"/>
          <c:w val="0.29931335297889206"/>
          <c:h val="0.59004965143688259"/>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nl-BE"/>
        </a:p>
      </c:txPr>
    </c:legend>
    <c:plotVisOnly val="1"/>
    <c:dispBlanksAs val="gap"/>
    <c:showDLblsOverMax val="0"/>
  </c:chart>
  <c:spPr>
    <a:solidFill>
      <a:schemeClr val="bg1"/>
    </a:solidFill>
    <a:ln w="19050" cap="flat" cmpd="sng" algn="ctr">
      <a:solidFill>
        <a:srgbClr val="D9D9D9"/>
      </a:solidFill>
      <a:round/>
    </a:ln>
    <a:effectLst/>
  </c:spPr>
  <c:txPr>
    <a:bodyPr/>
    <a:lstStyle/>
    <a:p>
      <a:pPr>
        <a:defRPr/>
      </a:pPr>
      <a:endParaRPr lang="nl-B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5" Type="http://schemas.openxmlformats.org/officeDocument/2006/relationships/image" Target="../media/image5.pn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6.png"/><Relationship Id="rId7" Type="http://schemas.openxmlformats.org/officeDocument/2006/relationships/image" Target="../media/image9.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8.png"/><Relationship Id="rId5" Type="http://schemas.openxmlformats.org/officeDocument/2006/relationships/chart" Target="../charts/chart3.xml"/><Relationship Id="rId4" Type="http://schemas.openxmlformats.org/officeDocument/2006/relationships/image" Target="../media/image7.png"/><Relationship Id="rId9"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781050</xdr:colOff>
      <xdr:row>27</xdr:row>
      <xdr:rowOff>29234</xdr:rowOff>
    </xdr:from>
    <xdr:to>
      <xdr:col>2</xdr:col>
      <xdr:colOff>1981200</xdr:colOff>
      <xdr:row>30</xdr:row>
      <xdr:rowOff>135466</xdr:rowOff>
    </xdr:to>
    <xdr:pic>
      <xdr:nvPicPr>
        <xdr:cNvPr id="3" name="Picture 3" descr="C:\Users\bribic\Desktop\flag_yellow_high.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38450" y="6668159"/>
          <a:ext cx="1200150" cy="6491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761999</xdr:colOff>
      <xdr:row>8</xdr:row>
      <xdr:rowOff>19050</xdr:rowOff>
    </xdr:from>
    <xdr:to>
      <xdr:col>3</xdr:col>
      <xdr:colOff>136728</xdr:colOff>
      <xdr:row>12</xdr:row>
      <xdr:rowOff>124586</xdr:rowOff>
    </xdr:to>
    <xdr:pic>
      <xdr:nvPicPr>
        <xdr:cNvPr id="4" name="Grafik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1999" y="2221230"/>
          <a:ext cx="3801949" cy="837056"/>
        </a:xfrm>
        <a:prstGeom prst="rect">
          <a:avLst/>
        </a:prstGeom>
      </xdr:spPr>
    </xdr:pic>
    <xdr:clientData/>
  </xdr:twoCellAnchor>
  <xdr:twoCellAnchor editAs="oneCell">
    <xdr:from>
      <xdr:col>5</xdr:col>
      <xdr:colOff>85727</xdr:colOff>
      <xdr:row>5</xdr:row>
      <xdr:rowOff>114301</xdr:rowOff>
    </xdr:from>
    <xdr:to>
      <xdr:col>10</xdr:col>
      <xdr:colOff>9525</xdr:colOff>
      <xdr:row>18</xdr:row>
      <xdr:rowOff>177111</xdr:rowOff>
    </xdr:to>
    <xdr:pic>
      <xdr:nvPicPr>
        <xdr:cNvPr id="11" name="Grafik 10"/>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067427" y="1304926"/>
          <a:ext cx="3829048" cy="25297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76201</xdr:colOff>
      <xdr:row>22</xdr:row>
      <xdr:rowOff>428625</xdr:rowOff>
    </xdr:from>
    <xdr:to>
      <xdr:col>10</xdr:col>
      <xdr:colOff>4959</xdr:colOff>
      <xdr:row>30</xdr:row>
      <xdr:rowOff>133350</xdr:rowOff>
    </xdr:to>
    <xdr:pic>
      <xdr:nvPicPr>
        <xdr:cNvPr id="14" name="Grafik 13"/>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057901" y="4781550"/>
          <a:ext cx="3834008" cy="2533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85725</xdr:colOff>
      <xdr:row>26</xdr:row>
      <xdr:rowOff>123825</xdr:rowOff>
    </xdr:from>
    <xdr:to>
      <xdr:col>2</xdr:col>
      <xdr:colOff>424421</xdr:colOff>
      <xdr:row>30</xdr:row>
      <xdr:rowOff>123825</xdr:rowOff>
    </xdr:to>
    <xdr:pic>
      <xdr:nvPicPr>
        <xdr:cNvPr id="7" name="Grafik 6" descr="http://www.get.ac.at/css/screen/images/GET-Logo.p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66775" y="6581775"/>
          <a:ext cx="1615046" cy="72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464820</xdr:colOff>
      <xdr:row>20</xdr:row>
      <xdr:rowOff>53340</xdr:rowOff>
    </xdr:from>
    <xdr:to>
      <xdr:col>16</xdr:col>
      <xdr:colOff>464820</xdr:colOff>
      <xdr:row>36</xdr:row>
      <xdr:rowOff>102870</xdr:rowOff>
    </xdr:to>
    <xdr:graphicFrame macro="">
      <xdr:nvGraphicFramePr>
        <xdr:cNvPr id="2" name="Diagram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259080</xdr:colOff>
      <xdr:row>3</xdr:row>
      <xdr:rowOff>11430</xdr:rowOff>
    </xdr:from>
    <xdr:to>
      <xdr:col>8</xdr:col>
      <xdr:colOff>251460</xdr:colOff>
      <xdr:row>19</xdr:row>
      <xdr:rowOff>76200</xdr:rowOff>
    </xdr:to>
    <xdr:graphicFrame macro="">
      <xdr:nvGraphicFramePr>
        <xdr:cNvPr id="3" name="Diagramm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4</xdr:col>
      <xdr:colOff>35242</xdr:colOff>
      <xdr:row>42</xdr:row>
      <xdr:rowOff>155249</xdr:rowOff>
    </xdr:from>
    <xdr:to>
      <xdr:col>5</xdr:col>
      <xdr:colOff>513398</xdr:colOff>
      <xdr:row>48</xdr:row>
      <xdr:rowOff>171782</xdr:rowOff>
    </xdr:to>
    <xdr:pic>
      <xdr:nvPicPr>
        <xdr:cNvPr id="25" name="Grafik 24"/>
        <xdr:cNvPicPr>
          <a:picLocks noChangeAspect="1"/>
        </xdr:cNvPicPr>
      </xdr:nvPicPr>
      <xdr:blipFill>
        <a:blip xmlns:r="http://schemas.openxmlformats.org/officeDocument/2006/relationships" r:embed="rId3"/>
        <a:stretch>
          <a:fillRect/>
        </a:stretch>
      </xdr:blipFill>
      <xdr:spPr>
        <a:xfrm>
          <a:off x="3205162" y="4361489"/>
          <a:ext cx="1270636" cy="1113813"/>
        </a:xfrm>
        <a:prstGeom prst="rect">
          <a:avLst/>
        </a:prstGeom>
      </xdr:spPr>
    </xdr:pic>
    <xdr:clientData/>
  </xdr:twoCellAnchor>
  <xdr:twoCellAnchor editAs="oneCell">
    <xdr:from>
      <xdr:col>14</xdr:col>
      <xdr:colOff>37012</xdr:colOff>
      <xdr:row>44</xdr:row>
      <xdr:rowOff>100148</xdr:rowOff>
    </xdr:from>
    <xdr:to>
      <xdr:col>15</xdr:col>
      <xdr:colOff>734968</xdr:colOff>
      <xdr:row>48</xdr:row>
      <xdr:rowOff>106680</xdr:rowOff>
    </xdr:to>
    <xdr:pic>
      <xdr:nvPicPr>
        <xdr:cNvPr id="36" name="Grafik 35"/>
        <xdr:cNvPicPr>
          <a:picLocks noChangeAspect="1"/>
        </xdr:cNvPicPr>
      </xdr:nvPicPr>
      <xdr:blipFill>
        <a:blip xmlns:r="http://schemas.openxmlformats.org/officeDocument/2006/relationships" r:embed="rId4"/>
        <a:stretch>
          <a:fillRect/>
        </a:stretch>
      </xdr:blipFill>
      <xdr:spPr>
        <a:xfrm>
          <a:off x="11131732" y="4672148"/>
          <a:ext cx="1490436" cy="738052"/>
        </a:xfrm>
        <a:prstGeom prst="rect">
          <a:avLst/>
        </a:prstGeom>
      </xdr:spPr>
    </xdr:pic>
    <xdr:clientData/>
  </xdr:twoCellAnchor>
  <xdr:twoCellAnchor>
    <xdr:from>
      <xdr:col>2</xdr:col>
      <xdr:colOff>739140</xdr:colOff>
      <xdr:row>45</xdr:row>
      <xdr:rowOff>137160</xdr:rowOff>
    </xdr:from>
    <xdr:to>
      <xdr:col>3</xdr:col>
      <xdr:colOff>586740</xdr:colOff>
      <xdr:row>48</xdr:row>
      <xdr:rowOff>53340</xdr:rowOff>
    </xdr:to>
    <xdr:sp macro="" textlink="">
      <xdr:nvSpPr>
        <xdr:cNvPr id="38" name="Gestreifter Pfeil nach rechts 37"/>
        <xdr:cNvSpPr/>
      </xdr:nvSpPr>
      <xdr:spPr>
        <a:xfrm>
          <a:off x="2324100" y="4892040"/>
          <a:ext cx="640080" cy="464820"/>
        </a:xfrm>
        <a:prstGeom prst="stripedRightArrow">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xdr:from>
      <xdr:col>5</xdr:col>
      <xdr:colOff>723900</xdr:colOff>
      <xdr:row>45</xdr:row>
      <xdr:rowOff>137160</xdr:rowOff>
    </xdr:from>
    <xdr:to>
      <xdr:col>6</xdr:col>
      <xdr:colOff>571500</xdr:colOff>
      <xdr:row>48</xdr:row>
      <xdr:rowOff>53340</xdr:rowOff>
    </xdr:to>
    <xdr:sp macro="" textlink="">
      <xdr:nvSpPr>
        <xdr:cNvPr id="39" name="Gestreifter Pfeil nach rechts 38"/>
        <xdr:cNvSpPr/>
      </xdr:nvSpPr>
      <xdr:spPr>
        <a:xfrm>
          <a:off x="4686300" y="4892040"/>
          <a:ext cx="640080" cy="464820"/>
        </a:xfrm>
        <a:prstGeom prst="stripedRightArrow">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xdr:from>
      <xdr:col>9</xdr:col>
      <xdr:colOff>99060</xdr:colOff>
      <xdr:row>45</xdr:row>
      <xdr:rowOff>137160</xdr:rowOff>
    </xdr:from>
    <xdr:to>
      <xdr:col>10</xdr:col>
      <xdr:colOff>601980</xdr:colOff>
      <xdr:row>50</xdr:row>
      <xdr:rowOff>175260</xdr:rowOff>
    </xdr:to>
    <xdr:grpSp>
      <xdr:nvGrpSpPr>
        <xdr:cNvPr id="4" name="Gruppieren 3"/>
        <xdr:cNvGrpSpPr/>
      </xdr:nvGrpSpPr>
      <xdr:grpSpPr>
        <a:xfrm>
          <a:off x="7231380" y="8496300"/>
          <a:ext cx="1295400" cy="952500"/>
          <a:chOff x="7231380" y="8496300"/>
          <a:chExt cx="1295400" cy="952500"/>
        </a:xfrm>
      </xdr:grpSpPr>
      <xdr:sp macro="" textlink="">
        <xdr:nvSpPr>
          <xdr:cNvPr id="41" name="Gestreifter Pfeil nach rechts 40"/>
          <xdr:cNvSpPr/>
        </xdr:nvSpPr>
        <xdr:spPr>
          <a:xfrm>
            <a:off x="7231380" y="8496300"/>
            <a:ext cx="1295400" cy="464820"/>
          </a:xfrm>
          <a:prstGeom prst="stripedRightArrow">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sp macro="" textlink="">
        <xdr:nvSpPr>
          <xdr:cNvPr id="42" name="Gestreifter Pfeil nach rechts 41"/>
          <xdr:cNvSpPr/>
        </xdr:nvSpPr>
        <xdr:spPr>
          <a:xfrm rot="5400000">
            <a:off x="7517130" y="8846820"/>
            <a:ext cx="739140" cy="464820"/>
          </a:xfrm>
          <a:prstGeom prst="stripedRightArrow">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grpSp>
    <xdr:clientData/>
  </xdr:twoCellAnchor>
  <xdr:twoCellAnchor>
    <xdr:from>
      <xdr:col>13</xdr:col>
      <xdr:colOff>76200</xdr:colOff>
      <xdr:row>45</xdr:row>
      <xdr:rowOff>137160</xdr:rowOff>
    </xdr:from>
    <xdr:to>
      <xdr:col>13</xdr:col>
      <xdr:colOff>716280</xdr:colOff>
      <xdr:row>48</xdr:row>
      <xdr:rowOff>53340</xdr:rowOff>
    </xdr:to>
    <xdr:sp macro="" textlink="">
      <xdr:nvSpPr>
        <xdr:cNvPr id="43" name="Gestreifter Pfeil nach rechts 42"/>
        <xdr:cNvSpPr/>
      </xdr:nvSpPr>
      <xdr:spPr>
        <a:xfrm>
          <a:off x="10378440" y="4892040"/>
          <a:ext cx="640080" cy="464820"/>
        </a:xfrm>
        <a:prstGeom prst="stripedRightArrow">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xdr:from>
      <xdr:col>16</xdr:col>
      <xdr:colOff>68580</xdr:colOff>
      <xdr:row>45</xdr:row>
      <xdr:rowOff>137160</xdr:rowOff>
    </xdr:from>
    <xdr:to>
      <xdr:col>16</xdr:col>
      <xdr:colOff>708660</xdr:colOff>
      <xdr:row>48</xdr:row>
      <xdr:rowOff>53340</xdr:rowOff>
    </xdr:to>
    <xdr:sp macro="" textlink="">
      <xdr:nvSpPr>
        <xdr:cNvPr id="44" name="Gestreifter Pfeil nach rechts 43"/>
        <xdr:cNvSpPr/>
      </xdr:nvSpPr>
      <xdr:spPr>
        <a:xfrm>
          <a:off x="12748260" y="8862060"/>
          <a:ext cx="640080" cy="464820"/>
        </a:xfrm>
        <a:prstGeom prst="stripedRightArrow">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xdr:from>
      <xdr:col>1</xdr:col>
      <xdr:colOff>68580</xdr:colOff>
      <xdr:row>45</xdr:row>
      <xdr:rowOff>53340</xdr:rowOff>
    </xdr:from>
    <xdr:to>
      <xdr:col>2</xdr:col>
      <xdr:colOff>617220</xdr:colOff>
      <xdr:row>48</xdr:row>
      <xdr:rowOff>144780</xdr:rowOff>
    </xdr:to>
    <xdr:sp macro="" textlink="">
      <xdr:nvSpPr>
        <xdr:cNvPr id="45" name="Abgerundetes Rechteck 44"/>
        <xdr:cNvSpPr/>
      </xdr:nvSpPr>
      <xdr:spPr>
        <a:xfrm>
          <a:off x="861060" y="8046720"/>
          <a:ext cx="1341120" cy="640080"/>
        </a:xfrm>
        <a:prstGeom prst="roundRect">
          <a:avLst/>
        </a:prstGeom>
        <a:noFill/>
        <a:ln w="19050">
          <a:solidFill>
            <a:srgbClr val="D9D9D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xdr:from>
      <xdr:col>6</xdr:col>
      <xdr:colOff>723900</xdr:colOff>
      <xdr:row>44</xdr:row>
      <xdr:rowOff>99060</xdr:rowOff>
    </xdr:from>
    <xdr:to>
      <xdr:col>8</xdr:col>
      <xdr:colOff>731520</xdr:colOff>
      <xdr:row>48</xdr:row>
      <xdr:rowOff>167640</xdr:rowOff>
    </xdr:to>
    <xdr:sp macro="" textlink="">
      <xdr:nvSpPr>
        <xdr:cNvPr id="46" name="Abgerundetes Rechteck 45"/>
        <xdr:cNvSpPr/>
      </xdr:nvSpPr>
      <xdr:spPr>
        <a:xfrm>
          <a:off x="5478780" y="7909560"/>
          <a:ext cx="1592580" cy="800100"/>
        </a:xfrm>
        <a:prstGeom prst="roundRect">
          <a:avLst/>
        </a:prstGeom>
        <a:noFill/>
        <a:ln w="19050">
          <a:solidFill>
            <a:srgbClr val="D9D9D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xdr:from>
      <xdr:col>8</xdr:col>
      <xdr:colOff>731520</xdr:colOff>
      <xdr:row>51</xdr:row>
      <xdr:rowOff>152400</xdr:rowOff>
    </xdr:from>
    <xdr:to>
      <xdr:col>10</xdr:col>
      <xdr:colOff>769620</xdr:colOff>
      <xdr:row>56</xdr:row>
      <xdr:rowOff>106680</xdr:rowOff>
    </xdr:to>
    <xdr:sp macro="" textlink="">
      <xdr:nvSpPr>
        <xdr:cNvPr id="47" name="Abgerundetes Rechteck 46"/>
        <xdr:cNvSpPr/>
      </xdr:nvSpPr>
      <xdr:spPr>
        <a:xfrm>
          <a:off x="7071360" y="6004560"/>
          <a:ext cx="1623060" cy="868680"/>
        </a:xfrm>
        <a:prstGeom prst="roundRect">
          <a:avLst/>
        </a:prstGeom>
        <a:noFill/>
        <a:ln w="19050">
          <a:solidFill>
            <a:srgbClr val="D9D9D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xdr:from>
      <xdr:col>10</xdr:col>
      <xdr:colOff>762000</xdr:colOff>
      <xdr:row>44</xdr:row>
      <xdr:rowOff>114300</xdr:rowOff>
    </xdr:from>
    <xdr:to>
      <xdr:col>12</xdr:col>
      <xdr:colOff>716280</xdr:colOff>
      <xdr:row>48</xdr:row>
      <xdr:rowOff>160020</xdr:rowOff>
    </xdr:to>
    <xdr:sp macro="" textlink="">
      <xdr:nvSpPr>
        <xdr:cNvPr id="48" name="Abgerundetes Rechteck 47"/>
        <xdr:cNvSpPr/>
      </xdr:nvSpPr>
      <xdr:spPr>
        <a:xfrm>
          <a:off x="8686800" y="4686300"/>
          <a:ext cx="1539240" cy="777240"/>
        </a:xfrm>
        <a:prstGeom prst="roundRect">
          <a:avLst/>
        </a:prstGeom>
        <a:noFill/>
        <a:ln w="19050">
          <a:solidFill>
            <a:srgbClr val="D9D9D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xdr:from>
      <xdr:col>16</xdr:col>
      <xdr:colOff>777240</xdr:colOff>
      <xdr:row>44</xdr:row>
      <xdr:rowOff>83820</xdr:rowOff>
    </xdr:from>
    <xdr:to>
      <xdr:col>18</xdr:col>
      <xdr:colOff>731520</xdr:colOff>
      <xdr:row>48</xdr:row>
      <xdr:rowOff>129540</xdr:rowOff>
    </xdr:to>
    <xdr:sp macro="" textlink="">
      <xdr:nvSpPr>
        <xdr:cNvPr id="49" name="Abgerundetes Rechteck 48"/>
        <xdr:cNvSpPr/>
      </xdr:nvSpPr>
      <xdr:spPr>
        <a:xfrm>
          <a:off x="13456920" y="4655820"/>
          <a:ext cx="1539240" cy="777240"/>
        </a:xfrm>
        <a:prstGeom prst="roundRect">
          <a:avLst/>
        </a:prstGeom>
        <a:noFill/>
        <a:ln w="19050">
          <a:solidFill>
            <a:srgbClr val="D9D9D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xdr:from>
      <xdr:col>14</xdr:col>
      <xdr:colOff>537210</xdr:colOff>
      <xdr:row>49</xdr:row>
      <xdr:rowOff>7620</xdr:rowOff>
    </xdr:from>
    <xdr:to>
      <xdr:col>15</xdr:col>
      <xdr:colOff>209550</xdr:colOff>
      <xdr:row>51</xdr:row>
      <xdr:rowOff>175260</xdr:rowOff>
    </xdr:to>
    <xdr:sp macro="" textlink="">
      <xdr:nvSpPr>
        <xdr:cNvPr id="50" name="Gestreifter Pfeil nach rechts 49"/>
        <xdr:cNvSpPr/>
      </xdr:nvSpPr>
      <xdr:spPr>
        <a:xfrm rot="5400000">
          <a:off x="11597640" y="5528310"/>
          <a:ext cx="533400" cy="464820"/>
        </a:xfrm>
        <a:prstGeom prst="stripedRightArrow">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xdr:from>
      <xdr:col>14</xdr:col>
      <xdr:colOff>22860</xdr:colOff>
      <xdr:row>52</xdr:row>
      <xdr:rowOff>114300</xdr:rowOff>
    </xdr:from>
    <xdr:to>
      <xdr:col>15</xdr:col>
      <xdr:colOff>784860</xdr:colOff>
      <xdr:row>56</xdr:row>
      <xdr:rowOff>91440</xdr:rowOff>
    </xdr:to>
    <xdr:sp macro="" textlink="">
      <xdr:nvSpPr>
        <xdr:cNvPr id="51" name="Abgerundetes Rechteck 50"/>
        <xdr:cNvSpPr/>
      </xdr:nvSpPr>
      <xdr:spPr>
        <a:xfrm>
          <a:off x="11117580" y="6149340"/>
          <a:ext cx="1554480" cy="708660"/>
        </a:xfrm>
        <a:prstGeom prst="roundRect">
          <a:avLst/>
        </a:prstGeom>
        <a:noFill/>
        <a:ln w="19050">
          <a:solidFill>
            <a:srgbClr val="D9D9D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xdr:from>
      <xdr:col>0</xdr:col>
      <xdr:colOff>251460</xdr:colOff>
      <xdr:row>20</xdr:row>
      <xdr:rowOff>49530</xdr:rowOff>
    </xdr:from>
    <xdr:to>
      <xdr:col>8</xdr:col>
      <xdr:colOff>251460</xdr:colOff>
      <xdr:row>36</xdr:row>
      <xdr:rowOff>99060</xdr:rowOff>
    </xdr:to>
    <xdr:graphicFrame macro="">
      <xdr:nvGraphicFramePr>
        <xdr:cNvPr id="52" name="Diagramm 5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243841</xdr:colOff>
      <xdr:row>37</xdr:row>
      <xdr:rowOff>38100</xdr:rowOff>
    </xdr:from>
    <xdr:to>
      <xdr:col>26</xdr:col>
      <xdr:colOff>125897</xdr:colOff>
      <xdr:row>57</xdr:row>
      <xdr:rowOff>121920</xdr:rowOff>
    </xdr:to>
    <xdr:sp macro="" textlink="">
      <xdr:nvSpPr>
        <xdr:cNvPr id="54" name="Abgerundetes Rechteck 53"/>
        <xdr:cNvSpPr/>
      </xdr:nvSpPr>
      <xdr:spPr>
        <a:xfrm>
          <a:off x="243841" y="6982239"/>
          <a:ext cx="19707308" cy="3854064"/>
        </a:xfrm>
        <a:prstGeom prst="roundRect">
          <a:avLst>
            <a:gd name="adj" fmla="val 0"/>
          </a:avLst>
        </a:prstGeom>
        <a:noFill/>
        <a:ln w="19050">
          <a:solidFill>
            <a:srgbClr val="D9D9D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xdr:from>
      <xdr:col>19</xdr:col>
      <xdr:colOff>243840</xdr:colOff>
      <xdr:row>45</xdr:row>
      <xdr:rowOff>137160</xdr:rowOff>
    </xdr:from>
    <xdr:to>
      <xdr:col>20</xdr:col>
      <xdr:colOff>91440</xdr:colOff>
      <xdr:row>48</xdr:row>
      <xdr:rowOff>53340</xdr:rowOff>
    </xdr:to>
    <xdr:sp macro="" textlink="">
      <xdr:nvSpPr>
        <xdr:cNvPr id="22" name="Gestreifter Pfeil nach rechts 21"/>
        <xdr:cNvSpPr/>
      </xdr:nvSpPr>
      <xdr:spPr>
        <a:xfrm>
          <a:off x="15300960" y="8862060"/>
          <a:ext cx="640080" cy="464820"/>
        </a:xfrm>
        <a:prstGeom prst="stripedRightArrow">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xdr:from>
      <xdr:col>19</xdr:col>
      <xdr:colOff>243840</xdr:colOff>
      <xdr:row>40</xdr:row>
      <xdr:rowOff>175260</xdr:rowOff>
    </xdr:from>
    <xdr:to>
      <xdr:col>20</xdr:col>
      <xdr:colOff>91440</xdr:colOff>
      <xdr:row>43</xdr:row>
      <xdr:rowOff>91440</xdr:rowOff>
    </xdr:to>
    <xdr:sp macro="" textlink="">
      <xdr:nvSpPr>
        <xdr:cNvPr id="23" name="Gestreifter Pfeil nach rechts 22"/>
        <xdr:cNvSpPr/>
      </xdr:nvSpPr>
      <xdr:spPr>
        <a:xfrm rot="20044867">
          <a:off x="15300960" y="7985760"/>
          <a:ext cx="640080" cy="464820"/>
        </a:xfrm>
        <a:prstGeom prst="stripedRightArrow">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xdr:from>
      <xdr:col>19</xdr:col>
      <xdr:colOff>243840</xdr:colOff>
      <xdr:row>50</xdr:row>
      <xdr:rowOff>22860</xdr:rowOff>
    </xdr:from>
    <xdr:to>
      <xdr:col>20</xdr:col>
      <xdr:colOff>91440</xdr:colOff>
      <xdr:row>52</xdr:row>
      <xdr:rowOff>121920</xdr:rowOff>
    </xdr:to>
    <xdr:sp macro="" textlink="">
      <xdr:nvSpPr>
        <xdr:cNvPr id="24" name="Gestreifter Pfeil nach rechts 23"/>
        <xdr:cNvSpPr/>
      </xdr:nvSpPr>
      <xdr:spPr>
        <a:xfrm rot="1560000">
          <a:off x="15300960" y="9662160"/>
          <a:ext cx="640080" cy="464820"/>
        </a:xfrm>
        <a:prstGeom prst="stripedRightArrow">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xdr:from>
      <xdr:col>20</xdr:col>
      <xdr:colOff>297180</xdr:colOff>
      <xdr:row>38</xdr:row>
      <xdr:rowOff>175260</xdr:rowOff>
    </xdr:from>
    <xdr:to>
      <xdr:col>24</xdr:col>
      <xdr:colOff>38100</xdr:colOff>
      <xdr:row>42</xdr:row>
      <xdr:rowOff>129540</xdr:rowOff>
    </xdr:to>
    <xdr:sp macro="" textlink="">
      <xdr:nvSpPr>
        <xdr:cNvPr id="30" name="Abgerundetes Rechteck 29"/>
        <xdr:cNvSpPr/>
      </xdr:nvSpPr>
      <xdr:spPr>
        <a:xfrm>
          <a:off x="16146780" y="7208520"/>
          <a:ext cx="2065020" cy="731520"/>
        </a:xfrm>
        <a:prstGeom prst="roundRect">
          <a:avLst/>
        </a:prstGeom>
        <a:noFill/>
        <a:ln w="19050">
          <a:solidFill>
            <a:srgbClr val="D9D9D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xdr:from>
      <xdr:col>20</xdr:col>
      <xdr:colOff>304800</xdr:colOff>
      <xdr:row>44</xdr:row>
      <xdr:rowOff>91440</xdr:rowOff>
    </xdr:from>
    <xdr:to>
      <xdr:col>24</xdr:col>
      <xdr:colOff>38100</xdr:colOff>
      <xdr:row>48</xdr:row>
      <xdr:rowOff>129540</xdr:rowOff>
    </xdr:to>
    <xdr:sp macro="" textlink="">
      <xdr:nvSpPr>
        <xdr:cNvPr id="31" name="Abgerundetes Rechteck 30"/>
        <xdr:cNvSpPr/>
      </xdr:nvSpPr>
      <xdr:spPr>
        <a:xfrm>
          <a:off x="16154400" y="8633460"/>
          <a:ext cx="2057400" cy="769620"/>
        </a:xfrm>
        <a:prstGeom prst="roundRect">
          <a:avLst/>
        </a:prstGeom>
        <a:noFill/>
        <a:ln w="19050">
          <a:solidFill>
            <a:srgbClr val="D9D9D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xdr:from>
      <xdr:col>20</xdr:col>
      <xdr:colOff>312420</xdr:colOff>
      <xdr:row>50</xdr:row>
      <xdr:rowOff>106680</xdr:rowOff>
    </xdr:from>
    <xdr:to>
      <xdr:col>24</xdr:col>
      <xdr:colOff>53340</xdr:colOff>
      <xdr:row>54</xdr:row>
      <xdr:rowOff>129540</xdr:rowOff>
    </xdr:to>
    <xdr:sp macro="" textlink="">
      <xdr:nvSpPr>
        <xdr:cNvPr id="32" name="Abgerundetes Rechteck 31"/>
        <xdr:cNvSpPr/>
      </xdr:nvSpPr>
      <xdr:spPr>
        <a:xfrm>
          <a:off x="16162020" y="9745980"/>
          <a:ext cx="2065020" cy="769620"/>
        </a:xfrm>
        <a:prstGeom prst="roundRect">
          <a:avLst/>
        </a:prstGeom>
        <a:noFill/>
        <a:ln w="19050">
          <a:solidFill>
            <a:srgbClr val="D9D9D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AT" sz="1100"/>
        </a:p>
      </xdr:txBody>
    </xdr:sp>
    <xdr:clientData/>
  </xdr:twoCellAnchor>
  <xdr:twoCellAnchor editAs="oneCell">
    <xdr:from>
      <xdr:col>24</xdr:col>
      <xdr:colOff>347662</xdr:colOff>
      <xdr:row>38</xdr:row>
      <xdr:rowOff>176212</xdr:rowOff>
    </xdr:from>
    <xdr:to>
      <xdr:col>25</xdr:col>
      <xdr:colOff>714375</xdr:colOff>
      <xdr:row>42</xdr:row>
      <xdr:rowOff>83629</xdr:rowOff>
    </xdr:to>
    <xdr:pic>
      <xdr:nvPicPr>
        <xdr:cNvPr id="8" name="Grafik 7"/>
        <xdr:cNvPicPr>
          <a:picLocks noChangeAspect="1"/>
        </xdr:cNvPicPr>
      </xdr:nvPicPr>
      <xdr:blipFill>
        <a:blip xmlns:r="http://schemas.openxmlformats.org/officeDocument/2006/relationships" r:embed="rId6"/>
        <a:stretch>
          <a:fillRect/>
        </a:stretch>
      </xdr:blipFill>
      <xdr:spPr>
        <a:xfrm>
          <a:off x="18478500" y="7138987"/>
          <a:ext cx="1157288" cy="678942"/>
        </a:xfrm>
        <a:prstGeom prst="rect">
          <a:avLst/>
        </a:prstGeom>
      </xdr:spPr>
    </xdr:pic>
    <xdr:clientData/>
  </xdr:twoCellAnchor>
  <xdr:twoCellAnchor editAs="oneCell">
    <xdr:from>
      <xdr:col>24</xdr:col>
      <xdr:colOff>376237</xdr:colOff>
      <xdr:row>45</xdr:row>
      <xdr:rowOff>138112</xdr:rowOff>
    </xdr:from>
    <xdr:to>
      <xdr:col>25</xdr:col>
      <xdr:colOff>615975</xdr:colOff>
      <xdr:row>48</xdr:row>
      <xdr:rowOff>34137</xdr:rowOff>
    </xdr:to>
    <xdr:pic>
      <xdr:nvPicPr>
        <xdr:cNvPr id="18" name="Grafik 17"/>
        <xdr:cNvPicPr>
          <a:picLocks noChangeAspect="1"/>
        </xdr:cNvPicPr>
      </xdr:nvPicPr>
      <xdr:blipFill>
        <a:blip xmlns:r="http://schemas.openxmlformats.org/officeDocument/2006/relationships" r:embed="rId7"/>
        <a:stretch>
          <a:fillRect/>
        </a:stretch>
      </xdr:blipFill>
      <xdr:spPr>
        <a:xfrm>
          <a:off x="18507075" y="8415337"/>
          <a:ext cx="1030313" cy="438950"/>
        </a:xfrm>
        <a:prstGeom prst="rect">
          <a:avLst/>
        </a:prstGeom>
      </xdr:spPr>
    </xdr:pic>
    <xdr:clientData/>
  </xdr:twoCellAnchor>
  <xdr:twoCellAnchor editAs="oneCell">
    <xdr:from>
      <xdr:col>24</xdr:col>
      <xdr:colOff>449767</xdr:colOff>
      <xdr:row>51</xdr:row>
      <xdr:rowOff>18586</xdr:rowOff>
    </xdr:from>
    <xdr:to>
      <xdr:col>25</xdr:col>
      <xdr:colOff>415404</xdr:colOff>
      <xdr:row>54</xdr:row>
      <xdr:rowOff>100360</xdr:rowOff>
    </xdr:to>
    <xdr:pic>
      <xdr:nvPicPr>
        <xdr:cNvPr id="86" name="Grafik 85"/>
        <xdr:cNvPicPr>
          <a:picLocks noChangeAspect="1"/>
        </xdr:cNvPicPr>
      </xdr:nvPicPr>
      <xdr:blipFill>
        <a:blip xmlns:r="http://schemas.openxmlformats.org/officeDocument/2006/relationships" r:embed="rId8"/>
        <a:stretch>
          <a:fillRect/>
        </a:stretch>
      </xdr:blipFill>
      <xdr:spPr>
        <a:xfrm>
          <a:off x="18607669" y="9441366"/>
          <a:ext cx="757374" cy="643053"/>
        </a:xfrm>
        <a:prstGeom prst="rect">
          <a:avLst/>
        </a:prstGeom>
      </xdr:spPr>
    </xdr:pic>
    <xdr:clientData/>
  </xdr:twoCellAnchor>
  <xdr:twoCellAnchor>
    <xdr:from>
      <xdr:col>8</xdr:col>
      <xdr:colOff>464820</xdr:colOff>
      <xdr:row>3</xdr:row>
      <xdr:rowOff>11430</xdr:rowOff>
    </xdr:from>
    <xdr:to>
      <xdr:col>16</xdr:col>
      <xdr:colOff>457200</xdr:colOff>
      <xdr:row>19</xdr:row>
      <xdr:rowOff>76200</xdr:rowOff>
    </xdr:to>
    <xdr:graphicFrame macro="">
      <xdr:nvGraphicFramePr>
        <xdr:cNvPr id="5" name="Diagramm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bin2grid.e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35"/>
  <sheetViews>
    <sheetView showGridLines="0" tabSelected="1" topLeftCell="A7" zoomScaleNormal="100" workbookViewId="0"/>
  </sheetViews>
  <sheetFormatPr defaultColWidth="11.42578125" defaultRowHeight="15" x14ac:dyDescent="0.25"/>
  <cols>
    <col min="1" max="1" width="11.42578125" style="26"/>
    <col min="2" max="2" width="18.7109375" style="26" customWidth="1"/>
    <col min="3" max="3" width="34.42578125" style="26" customWidth="1"/>
    <col min="4" max="16384" width="11.42578125" style="26"/>
  </cols>
  <sheetData>
    <row r="2" spans="2:3" ht="26.25" x14ac:dyDescent="0.4">
      <c r="B2" s="25" t="s">
        <v>142</v>
      </c>
    </row>
    <row r="3" spans="2:3" ht="26.25" x14ac:dyDescent="0.4">
      <c r="B3" s="25" t="s">
        <v>143</v>
      </c>
    </row>
    <row r="6" spans="2:3" ht="21" x14ac:dyDescent="0.35">
      <c r="B6" s="28" t="s">
        <v>141</v>
      </c>
    </row>
    <row r="15" spans="2:3" ht="17.25" x14ac:dyDescent="0.25">
      <c r="B15" s="26" t="s">
        <v>132</v>
      </c>
      <c r="C15" s="26" t="s">
        <v>374</v>
      </c>
    </row>
    <row r="17" spans="2:14" x14ac:dyDescent="0.25">
      <c r="B17" s="26" t="s">
        <v>133</v>
      </c>
      <c r="C17" s="26" t="s">
        <v>144</v>
      </c>
    </row>
    <row r="18" spans="2:14" x14ac:dyDescent="0.25">
      <c r="J18" s="29"/>
      <c r="K18" s="29"/>
      <c r="L18" s="29"/>
      <c r="M18" s="29"/>
      <c r="N18" s="29"/>
    </row>
    <row r="19" spans="2:14" x14ac:dyDescent="0.25">
      <c r="B19" s="26" t="s">
        <v>134</v>
      </c>
      <c r="C19" s="26" t="s">
        <v>157</v>
      </c>
      <c r="J19" s="29"/>
      <c r="K19" s="29"/>
      <c r="L19" s="29"/>
      <c r="M19" s="29"/>
      <c r="N19" s="29"/>
    </row>
    <row r="20" spans="2:14" x14ac:dyDescent="0.25">
      <c r="J20" s="30"/>
      <c r="K20" s="29"/>
      <c r="L20" s="29"/>
      <c r="M20" s="29"/>
      <c r="N20" s="29"/>
    </row>
    <row r="21" spans="2:14" x14ac:dyDescent="0.25">
      <c r="B21" s="31" t="s">
        <v>135</v>
      </c>
      <c r="C21" s="32" t="s">
        <v>371</v>
      </c>
      <c r="J21" s="29"/>
      <c r="K21" s="29"/>
      <c r="L21" s="29"/>
      <c r="M21" s="29"/>
      <c r="N21" s="29"/>
    </row>
    <row r="22" spans="2:14" x14ac:dyDescent="0.25">
      <c r="J22" s="29"/>
      <c r="K22" s="29"/>
      <c r="L22" s="29"/>
      <c r="M22" s="29"/>
      <c r="N22" s="29"/>
    </row>
    <row r="23" spans="2:14" ht="123" customHeight="1" x14ac:dyDescent="0.25">
      <c r="B23" s="33" t="s">
        <v>136</v>
      </c>
      <c r="C23" s="34" t="s">
        <v>145</v>
      </c>
      <c r="D23"/>
    </row>
    <row r="25" spans="2:14" x14ac:dyDescent="0.25">
      <c r="B25" s="26" t="s">
        <v>137</v>
      </c>
      <c r="C25" s="35" t="s">
        <v>138</v>
      </c>
    </row>
    <row r="34" spans="2:2" x14ac:dyDescent="0.25">
      <c r="B34" s="36" t="s">
        <v>139</v>
      </c>
    </row>
    <row r="35" spans="2:2" x14ac:dyDescent="0.25">
      <c r="B35" s="36" t="s">
        <v>140</v>
      </c>
    </row>
  </sheetData>
  <sheetProtection algorithmName="SHA-512" hashValue="Xu7Tec+h3mc35DwTXyLIAbKB0i4AILrkmdxkLYCXtZyxRApjzsm8GHS2EBGZZoqbzUpHN9xcDY9cDhuFJa4Kog==" saltValue="YeYqHpjAuIL+NI9Zfw8uIA==" spinCount="100000" sheet="1" objects="1" scenarios="1"/>
  <hyperlinks>
    <hyperlink ref="C25" r:id="rId1"/>
  </hyperlinks>
  <pageMargins left="0.7" right="0.7" top="0.78740157499999996" bottom="0.78740157499999996"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40"/>
  <sheetViews>
    <sheetView showGridLines="0" workbookViewId="0"/>
  </sheetViews>
  <sheetFormatPr defaultColWidth="11.42578125" defaultRowHeight="15" x14ac:dyDescent="0.25"/>
  <cols>
    <col min="1" max="1" width="5.7109375" customWidth="1"/>
    <col min="2" max="2" width="108.7109375" customWidth="1"/>
  </cols>
  <sheetData>
    <row r="2" spans="2:2" ht="26.25" x14ac:dyDescent="0.4">
      <c r="B2" s="25" t="s">
        <v>142</v>
      </c>
    </row>
    <row r="3" spans="2:2" ht="26.25" x14ac:dyDescent="0.4">
      <c r="B3" s="25" t="s">
        <v>143</v>
      </c>
    </row>
    <row r="4" spans="2:2" x14ac:dyDescent="0.25">
      <c r="B4" s="26"/>
    </row>
    <row r="5" spans="2:2" x14ac:dyDescent="0.25">
      <c r="B5" s="27"/>
    </row>
    <row r="7" spans="2:2" ht="23.25" x14ac:dyDescent="0.35">
      <c r="B7" s="37" t="s">
        <v>146</v>
      </c>
    </row>
    <row r="9" spans="2:2" x14ac:dyDescent="0.25">
      <c r="B9" s="38" t="s">
        <v>147</v>
      </c>
    </row>
    <row r="10" spans="2:2" ht="135" customHeight="1" x14ac:dyDescent="0.25">
      <c r="B10" s="179" t="s">
        <v>373</v>
      </c>
    </row>
    <row r="12" spans="2:2" x14ac:dyDescent="0.25">
      <c r="B12" s="38" t="s">
        <v>148</v>
      </c>
    </row>
    <row r="13" spans="2:2" ht="138.75" customHeight="1" x14ac:dyDescent="0.25">
      <c r="B13" s="179" t="s">
        <v>379</v>
      </c>
    </row>
    <row r="15" spans="2:2" x14ac:dyDescent="0.25">
      <c r="B15" s="38" t="s">
        <v>149</v>
      </c>
    </row>
    <row r="16" spans="2:2" ht="63" customHeight="1" x14ac:dyDescent="0.25">
      <c r="B16" s="39" t="s">
        <v>381</v>
      </c>
    </row>
    <row r="18" spans="2:2" x14ac:dyDescent="0.25">
      <c r="B18" s="38" t="s">
        <v>150</v>
      </c>
    </row>
    <row r="19" spans="2:2" ht="180.6" customHeight="1" x14ac:dyDescent="0.25">
      <c r="B19" s="179" t="s">
        <v>382</v>
      </c>
    </row>
    <row r="20" spans="2:2" s="40" customFormat="1" x14ac:dyDescent="0.25">
      <c r="B20" s="40" t="s">
        <v>151</v>
      </c>
    </row>
    <row r="21" spans="2:2" x14ac:dyDescent="0.25">
      <c r="B21" s="41" t="s">
        <v>380</v>
      </c>
    </row>
    <row r="22" spans="2:2" x14ac:dyDescent="0.25">
      <c r="B22" s="42" t="s">
        <v>152</v>
      </c>
    </row>
    <row r="23" spans="2:2" x14ac:dyDescent="0.25">
      <c r="B23" s="43" t="s">
        <v>383</v>
      </c>
    </row>
    <row r="25" spans="2:2" x14ac:dyDescent="0.25">
      <c r="B25" s="38" t="s">
        <v>153</v>
      </c>
    </row>
    <row r="26" spans="2:2" x14ac:dyDescent="0.25">
      <c r="B26" s="184" t="s">
        <v>377</v>
      </c>
    </row>
    <row r="27" spans="2:2" x14ac:dyDescent="0.25">
      <c r="B27" s="183" t="s">
        <v>154</v>
      </c>
    </row>
    <row r="28" spans="2:2" x14ac:dyDescent="0.25">
      <c r="B28" s="183" t="s">
        <v>375</v>
      </c>
    </row>
    <row r="29" spans="2:2" x14ac:dyDescent="0.25">
      <c r="B29" s="183" t="s">
        <v>376</v>
      </c>
    </row>
    <row r="30" spans="2:2" x14ac:dyDescent="0.25">
      <c r="B30" s="183" t="s">
        <v>378</v>
      </c>
    </row>
    <row r="31" spans="2:2" x14ac:dyDescent="0.25">
      <c r="B31" s="183"/>
    </row>
    <row r="32" spans="2:2" x14ac:dyDescent="0.25">
      <c r="B32" s="188" t="s">
        <v>404</v>
      </c>
    </row>
    <row r="33" spans="2:2" x14ac:dyDescent="0.25">
      <c r="B33" s="183" t="s">
        <v>387</v>
      </c>
    </row>
    <row r="35" spans="2:2" x14ac:dyDescent="0.25">
      <c r="B35" s="38" t="s">
        <v>155</v>
      </c>
    </row>
    <row r="36" spans="2:2" ht="30" x14ac:dyDescent="0.25">
      <c r="B36" s="44" t="s">
        <v>156</v>
      </c>
    </row>
    <row r="37" spans="2:2" ht="45" x14ac:dyDescent="0.25">
      <c r="B37" s="45" t="s">
        <v>158</v>
      </c>
    </row>
    <row r="39" spans="2:2" x14ac:dyDescent="0.25">
      <c r="B39" s="38" t="s">
        <v>384</v>
      </c>
    </row>
    <row r="40" spans="2:2" ht="45" x14ac:dyDescent="0.25">
      <c r="B40" s="44" t="s">
        <v>385</v>
      </c>
    </row>
  </sheetData>
  <sheetProtection algorithmName="SHA-512" hashValue="Kn33vJ7bb5pNKu6FWRClfMJEEQhhXoET+7KVXrpZqoS1urIksCzo59lwKdWQrzoeFQcwSJcBt/UWrM/14HpyeQ==" saltValue="knNoL3OAL9P7OZ1xdJQhhQ==" spinCount="100000" sheet="1" objects="1" scenarios="1"/>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4"/>
  <sheetViews>
    <sheetView showGridLines="0" workbookViewId="0">
      <pane ySplit="14" topLeftCell="A15" activePane="bottomLeft" state="frozen"/>
      <selection pane="bottomLeft"/>
    </sheetView>
  </sheetViews>
  <sheetFormatPr defaultColWidth="11.42578125" defaultRowHeight="15" x14ac:dyDescent="0.25"/>
  <cols>
    <col min="1" max="1" width="15.7109375" style="44" customWidth="1"/>
    <col min="2" max="2" width="23.5703125" customWidth="1"/>
    <col min="3" max="3" width="11.5703125" style="46"/>
    <col min="9" max="9" width="11.5703125" customWidth="1"/>
  </cols>
  <sheetData>
    <row r="1" spans="1:15" ht="14.45" customHeight="1" x14ac:dyDescent="0.25"/>
    <row r="2" spans="1:15" ht="21" x14ac:dyDescent="0.35">
      <c r="A2" s="9" t="s">
        <v>159</v>
      </c>
    </row>
    <row r="3" spans="1:15" ht="14.45" customHeight="1" x14ac:dyDescent="0.25"/>
    <row r="4" spans="1:15" x14ac:dyDescent="0.25">
      <c r="A4" s="47" t="s">
        <v>160</v>
      </c>
    </row>
    <row r="5" spans="1:15" ht="8.4499999999999993" customHeight="1" x14ac:dyDescent="0.25">
      <c r="A5" s="47"/>
    </row>
    <row r="6" spans="1:15" x14ac:dyDescent="0.25">
      <c r="A6" s="47" t="s">
        <v>161</v>
      </c>
    </row>
    <row r="7" spans="1:15" ht="8.4499999999999993" customHeight="1" x14ac:dyDescent="0.25">
      <c r="A7" s="47"/>
    </row>
    <row r="8" spans="1:15" x14ac:dyDescent="0.25">
      <c r="A8" s="47" t="s">
        <v>162</v>
      </c>
    </row>
    <row r="9" spans="1:15" x14ac:dyDescent="0.25">
      <c r="A9" s="47" t="s">
        <v>163</v>
      </c>
    </row>
    <row r="10" spans="1:15" x14ac:dyDescent="0.25">
      <c r="A10" s="47" t="s">
        <v>164</v>
      </c>
    </row>
    <row r="11" spans="1:15" ht="14.45" customHeight="1" x14ac:dyDescent="0.25"/>
    <row r="12" spans="1:15" ht="14.45" customHeight="1" x14ac:dyDescent="0.25">
      <c r="A12" s="48"/>
      <c r="B12" s="48"/>
      <c r="C12" s="195" t="s">
        <v>165</v>
      </c>
      <c r="D12" s="196"/>
      <c r="E12" s="196"/>
      <c r="F12" s="197" t="s">
        <v>166</v>
      </c>
      <c r="G12" s="198"/>
      <c r="H12" s="198"/>
      <c r="I12" s="198"/>
      <c r="J12" s="198"/>
      <c r="K12" s="198"/>
      <c r="L12" s="198"/>
      <c r="M12" s="198"/>
      <c r="N12" s="198"/>
      <c r="O12" s="199"/>
    </row>
    <row r="13" spans="1:15" ht="45" x14ac:dyDescent="0.25">
      <c r="A13" s="50" t="s">
        <v>167</v>
      </c>
      <c r="B13" s="50" t="s">
        <v>168</v>
      </c>
      <c r="C13" s="51" t="s">
        <v>169</v>
      </c>
      <c r="D13" s="50" t="s">
        <v>170</v>
      </c>
      <c r="E13" s="50" t="s">
        <v>171</v>
      </c>
      <c r="F13" s="50" t="s">
        <v>169</v>
      </c>
      <c r="G13" s="50" t="s">
        <v>170</v>
      </c>
      <c r="H13" s="50" t="s">
        <v>171</v>
      </c>
      <c r="I13" s="50" t="s">
        <v>283</v>
      </c>
      <c r="J13" s="50" t="s">
        <v>277</v>
      </c>
      <c r="K13" s="50" t="s">
        <v>278</v>
      </c>
      <c r="L13" s="50" t="s">
        <v>279</v>
      </c>
      <c r="M13" s="50" t="s">
        <v>280</v>
      </c>
      <c r="N13" s="50" t="s">
        <v>281</v>
      </c>
      <c r="O13" s="50" t="s">
        <v>282</v>
      </c>
    </row>
    <row r="14" spans="1:15" ht="17.25" x14ac:dyDescent="0.25">
      <c r="A14" s="50"/>
      <c r="B14" s="50"/>
      <c r="C14" s="51" t="s">
        <v>0</v>
      </c>
      <c r="D14" s="50" t="s">
        <v>293</v>
      </c>
      <c r="E14" s="50" t="s">
        <v>0</v>
      </c>
      <c r="F14" s="50" t="s">
        <v>0</v>
      </c>
      <c r="G14" s="50" t="s">
        <v>293</v>
      </c>
      <c r="H14" s="50" t="s">
        <v>0</v>
      </c>
      <c r="I14" s="50" t="s">
        <v>290</v>
      </c>
      <c r="J14" s="50" t="s">
        <v>294</v>
      </c>
      <c r="K14" s="50" t="s">
        <v>294</v>
      </c>
      <c r="L14" s="50" t="s">
        <v>100</v>
      </c>
      <c r="M14" s="50" t="s">
        <v>100</v>
      </c>
      <c r="N14" s="50" t="s">
        <v>16</v>
      </c>
      <c r="O14" s="50" t="s">
        <v>16</v>
      </c>
    </row>
    <row r="15" spans="1:15" ht="30" x14ac:dyDescent="0.25">
      <c r="A15" s="44" t="s">
        <v>172</v>
      </c>
      <c r="B15" s="52" t="s">
        <v>173</v>
      </c>
      <c r="C15" s="53" t="s">
        <v>174</v>
      </c>
      <c r="D15" s="54" t="s">
        <v>175</v>
      </c>
      <c r="E15" s="54">
        <v>63</v>
      </c>
      <c r="F15" s="67"/>
      <c r="G15" s="67"/>
      <c r="H15" s="67"/>
      <c r="I15" s="190"/>
      <c r="J15" s="190"/>
      <c r="K15" s="190"/>
      <c r="L15" s="70">
        <f t="shared" ref="L15:L62" si="0">G15*I15</f>
        <v>0</v>
      </c>
      <c r="M15" s="70">
        <f>L15*H15/100</f>
        <v>0</v>
      </c>
      <c r="N15" s="70">
        <f>J15*I15</f>
        <v>0</v>
      </c>
      <c r="O15" s="70">
        <f>K15*I15</f>
        <v>0</v>
      </c>
    </row>
    <row r="16" spans="1:15" x14ac:dyDescent="0.25">
      <c r="A16" s="55"/>
      <c r="B16" s="52" t="s">
        <v>176</v>
      </c>
      <c r="C16" s="53" t="s">
        <v>177</v>
      </c>
      <c r="D16" s="54" t="s">
        <v>178</v>
      </c>
      <c r="E16" s="54">
        <v>62</v>
      </c>
      <c r="F16" s="67"/>
      <c r="G16" s="67"/>
      <c r="H16" s="67"/>
      <c r="I16" s="190"/>
      <c r="J16" s="190"/>
      <c r="K16" s="190"/>
      <c r="L16" s="70">
        <f t="shared" si="0"/>
        <v>0</v>
      </c>
      <c r="M16" s="70">
        <f t="shared" ref="M16:M62" si="1">L16*H16/100</f>
        <v>0</v>
      </c>
      <c r="N16" s="70">
        <f t="shared" ref="N16:N62" si="2">J16*I16</f>
        <v>0</v>
      </c>
      <c r="O16" s="70">
        <f t="shared" ref="O16:O62" si="3">K16*I16</f>
        <v>0</v>
      </c>
    </row>
    <row r="17" spans="1:15" x14ac:dyDescent="0.25">
      <c r="A17" s="55"/>
      <c r="B17" s="52" t="s">
        <v>179</v>
      </c>
      <c r="C17" s="53" t="s">
        <v>180</v>
      </c>
      <c r="D17" s="54" t="s">
        <v>181</v>
      </c>
      <c r="E17" s="54">
        <v>63</v>
      </c>
      <c r="F17" s="67"/>
      <c r="G17" s="67"/>
      <c r="H17" s="67"/>
      <c r="I17" s="190"/>
      <c r="J17" s="190"/>
      <c r="K17" s="190"/>
      <c r="L17" s="70">
        <f t="shared" si="0"/>
        <v>0</v>
      </c>
      <c r="M17" s="70">
        <f t="shared" si="1"/>
        <v>0</v>
      </c>
      <c r="N17" s="70">
        <f t="shared" si="2"/>
        <v>0</v>
      </c>
      <c r="O17" s="70">
        <f t="shared" si="3"/>
        <v>0</v>
      </c>
    </row>
    <row r="18" spans="1:15" ht="30" x14ac:dyDescent="0.25">
      <c r="A18" s="55"/>
      <c r="B18" s="52" t="s">
        <v>182</v>
      </c>
      <c r="C18" s="53" t="s">
        <v>183</v>
      </c>
      <c r="D18" s="54" t="s">
        <v>184</v>
      </c>
      <c r="E18" s="54">
        <v>55</v>
      </c>
      <c r="F18" s="67"/>
      <c r="G18" s="67"/>
      <c r="H18" s="67"/>
      <c r="I18" s="190"/>
      <c r="J18" s="190"/>
      <c r="K18" s="190"/>
      <c r="L18" s="70">
        <f t="shared" si="0"/>
        <v>0</v>
      </c>
      <c r="M18" s="70">
        <f t="shared" si="1"/>
        <v>0</v>
      </c>
      <c r="N18" s="70">
        <f t="shared" si="2"/>
        <v>0</v>
      </c>
      <c r="O18" s="70">
        <f t="shared" si="3"/>
        <v>0</v>
      </c>
    </row>
    <row r="19" spans="1:15" x14ac:dyDescent="0.25">
      <c r="A19" s="55"/>
      <c r="B19" s="52" t="s">
        <v>185</v>
      </c>
      <c r="C19" s="53">
        <v>85</v>
      </c>
      <c r="D19" s="54" t="s">
        <v>186</v>
      </c>
      <c r="E19" s="54">
        <v>55</v>
      </c>
      <c r="F19" s="67"/>
      <c r="G19" s="67"/>
      <c r="H19" s="67"/>
      <c r="I19" s="190"/>
      <c r="J19" s="190"/>
      <c r="K19" s="190"/>
      <c r="L19" s="70">
        <f t="shared" si="0"/>
        <v>0</v>
      </c>
      <c r="M19" s="70">
        <f t="shared" si="1"/>
        <v>0</v>
      </c>
      <c r="N19" s="70">
        <f t="shared" si="2"/>
        <v>0</v>
      </c>
      <c r="O19" s="70">
        <f t="shared" si="3"/>
        <v>0</v>
      </c>
    </row>
    <row r="20" spans="1:15" ht="30" x14ac:dyDescent="0.25">
      <c r="A20" s="55"/>
      <c r="B20" s="52" t="s">
        <v>187</v>
      </c>
      <c r="C20" s="53">
        <v>90</v>
      </c>
      <c r="D20" s="54" t="s">
        <v>188</v>
      </c>
      <c r="E20" s="54">
        <v>66</v>
      </c>
      <c r="F20" s="67"/>
      <c r="G20" s="67"/>
      <c r="H20" s="67"/>
      <c r="I20" s="190"/>
      <c r="J20" s="190"/>
      <c r="K20" s="190"/>
      <c r="L20" s="70">
        <f t="shared" si="0"/>
        <v>0</v>
      </c>
      <c r="M20" s="70">
        <f t="shared" si="1"/>
        <v>0</v>
      </c>
      <c r="N20" s="70">
        <f t="shared" si="2"/>
        <v>0</v>
      </c>
      <c r="O20" s="70">
        <f t="shared" si="3"/>
        <v>0</v>
      </c>
    </row>
    <row r="21" spans="1:15" x14ac:dyDescent="0.25">
      <c r="A21" s="55"/>
      <c r="B21" s="52" t="s">
        <v>189</v>
      </c>
      <c r="C21" s="53">
        <v>86</v>
      </c>
      <c r="D21" s="54">
        <v>540</v>
      </c>
      <c r="E21" s="54">
        <v>58</v>
      </c>
      <c r="F21" s="67"/>
      <c r="G21" s="67"/>
      <c r="H21" s="67"/>
      <c r="I21" s="190"/>
      <c r="J21" s="190"/>
      <c r="K21" s="190"/>
      <c r="L21" s="70">
        <f t="shared" si="0"/>
        <v>0</v>
      </c>
      <c r="M21" s="70">
        <f t="shared" si="1"/>
        <v>0</v>
      </c>
      <c r="N21" s="70">
        <f t="shared" si="2"/>
        <v>0</v>
      </c>
      <c r="O21" s="70">
        <f t="shared" si="3"/>
        <v>0</v>
      </c>
    </row>
    <row r="22" spans="1:15" x14ac:dyDescent="0.25">
      <c r="A22" s="55"/>
      <c r="B22" s="52" t="s">
        <v>190</v>
      </c>
      <c r="C22" s="53">
        <v>90</v>
      </c>
      <c r="D22" s="54">
        <v>580</v>
      </c>
      <c r="E22" s="54">
        <v>55</v>
      </c>
      <c r="F22" s="67"/>
      <c r="G22" s="67"/>
      <c r="H22" s="67"/>
      <c r="I22" s="190"/>
      <c r="J22" s="190"/>
      <c r="K22" s="190"/>
      <c r="L22" s="70">
        <f t="shared" si="0"/>
        <v>0</v>
      </c>
      <c r="M22" s="70">
        <f t="shared" si="1"/>
        <v>0</v>
      </c>
      <c r="N22" s="70">
        <f t="shared" si="2"/>
        <v>0</v>
      </c>
      <c r="O22" s="70">
        <f t="shared" si="3"/>
        <v>0</v>
      </c>
    </row>
    <row r="23" spans="1:15" x14ac:dyDescent="0.25">
      <c r="A23" s="55"/>
      <c r="B23" s="52" t="s">
        <v>191</v>
      </c>
      <c r="C23" s="53" t="s">
        <v>192</v>
      </c>
      <c r="D23" s="54" t="s">
        <v>193</v>
      </c>
      <c r="E23" s="54">
        <v>62</v>
      </c>
      <c r="F23" s="67"/>
      <c r="G23" s="67"/>
      <c r="H23" s="67"/>
      <c r="I23" s="190"/>
      <c r="J23" s="190"/>
      <c r="K23" s="190"/>
      <c r="L23" s="70">
        <f t="shared" si="0"/>
        <v>0</v>
      </c>
      <c r="M23" s="70">
        <f t="shared" si="1"/>
        <v>0</v>
      </c>
      <c r="N23" s="70">
        <f t="shared" si="2"/>
        <v>0</v>
      </c>
      <c r="O23" s="70">
        <f t="shared" si="3"/>
        <v>0</v>
      </c>
    </row>
    <row r="24" spans="1:15" x14ac:dyDescent="0.25">
      <c r="A24" s="55"/>
      <c r="B24" s="52" t="s">
        <v>194</v>
      </c>
      <c r="C24" s="56" t="s">
        <v>195</v>
      </c>
      <c r="D24" s="57" t="s">
        <v>196</v>
      </c>
      <c r="E24" s="57">
        <v>58</v>
      </c>
      <c r="F24" s="67"/>
      <c r="G24" s="67"/>
      <c r="H24" s="67"/>
      <c r="I24" s="190"/>
      <c r="J24" s="190"/>
      <c r="K24" s="190"/>
      <c r="L24" s="70">
        <f t="shared" si="0"/>
        <v>0</v>
      </c>
      <c r="M24" s="70">
        <f t="shared" si="1"/>
        <v>0</v>
      </c>
      <c r="N24" s="70">
        <f t="shared" si="2"/>
        <v>0</v>
      </c>
      <c r="O24" s="70">
        <f t="shared" si="3"/>
        <v>0</v>
      </c>
    </row>
    <row r="25" spans="1:15" x14ac:dyDescent="0.25">
      <c r="A25" s="55"/>
      <c r="B25" s="52" t="s">
        <v>197</v>
      </c>
      <c r="C25" s="56">
        <v>75</v>
      </c>
      <c r="D25" s="57" t="s">
        <v>198</v>
      </c>
      <c r="E25" s="57">
        <v>60</v>
      </c>
      <c r="F25" s="67">
        <v>75</v>
      </c>
      <c r="G25" s="67">
        <v>500</v>
      </c>
      <c r="H25" s="67">
        <v>60</v>
      </c>
      <c r="I25" s="190">
        <v>200</v>
      </c>
      <c r="J25" s="190"/>
      <c r="K25" s="190">
        <v>35</v>
      </c>
      <c r="L25" s="70">
        <f t="shared" si="0"/>
        <v>100000</v>
      </c>
      <c r="M25" s="70">
        <f t="shared" si="1"/>
        <v>60000</v>
      </c>
      <c r="N25" s="70">
        <f t="shared" si="2"/>
        <v>0</v>
      </c>
      <c r="O25" s="70">
        <f t="shared" si="3"/>
        <v>7000</v>
      </c>
    </row>
    <row r="26" spans="1:15" x14ac:dyDescent="0.25">
      <c r="A26" s="55"/>
      <c r="B26" s="52" t="s">
        <v>199</v>
      </c>
      <c r="C26" s="56">
        <v>30</v>
      </c>
      <c r="D26" s="57">
        <v>320</v>
      </c>
      <c r="E26" s="57">
        <v>58</v>
      </c>
      <c r="F26" s="67"/>
      <c r="G26" s="67"/>
      <c r="H26" s="67"/>
      <c r="I26" s="190"/>
      <c r="J26" s="190"/>
      <c r="K26" s="190"/>
      <c r="L26" s="70">
        <f t="shared" si="0"/>
        <v>0</v>
      </c>
      <c r="M26" s="70">
        <f t="shared" si="1"/>
        <v>0</v>
      </c>
      <c r="N26" s="70">
        <f t="shared" si="2"/>
        <v>0</v>
      </c>
      <c r="O26" s="70">
        <f t="shared" si="3"/>
        <v>0</v>
      </c>
    </row>
    <row r="27" spans="1:15" ht="45" x14ac:dyDescent="0.25">
      <c r="A27" s="44" t="s">
        <v>200</v>
      </c>
      <c r="B27" s="58" t="s">
        <v>201</v>
      </c>
      <c r="C27" s="56" t="s">
        <v>202</v>
      </c>
      <c r="D27" s="57" t="s">
        <v>203</v>
      </c>
      <c r="E27" s="57">
        <v>60</v>
      </c>
      <c r="F27" s="68"/>
      <c r="G27" s="68"/>
      <c r="H27" s="68"/>
      <c r="I27" s="190"/>
      <c r="J27" s="190"/>
      <c r="K27" s="190"/>
      <c r="L27" s="70">
        <f t="shared" si="0"/>
        <v>0</v>
      </c>
      <c r="M27" s="70">
        <f t="shared" si="1"/>
        <v>0</v>
      </c>
      <c r="N27" s="70">
        <f t="shared" si="2"/>
        <v>0</v>
      </c>
      <c r="O27" s="70">
        <f t="shared" si="3"/>
        <v>0</v>
      </c>
    </row>
    <row r="28" spans="1:15" x14ac:dyDescent="0.25">
      <c r="A28" s="55"/>
      <c r="B28" s="58" t="s">
        <v>204</v>
      </c>
      <c r="C28" s="56">
        <v>90</v>
      </c>
      <c r="D28" s="57">
        <v>550</v>
      </c>
      <c r="E28" s="57">
        <v>62</v>
      </c>
      <c r="F28" s="68"/>
      <c r="G28" s="68"/>
      <c r="H28" s="68"/>
      <c r="I28" s="190"/>
      <c r="J28" s="190"/>
      <c r="K28" s="190"/>
      <c r="L28" s="70">
        <f t="shared" si="0"/>
        <v>0</v>
      </c>
      <c r="M28" s="70">
        <f t="shared" si="1"/>
        <v>0</v>
      </c>
      <c r="N28" s="70">
        <f t="shared" si="2"/>
        <v>0</v>
      </c>
      <c r="O28" s="70">
        <f t="shared" si="3"/>
        <v>0</v>
      </c>
    </row>
    <row r="29" spans="1:15" x14ac:dyDescent="0.25">
      <c r="A29" s="55"/>
      <c r="B29" s="58" t="s">
        <v>205</v>
      </c>
      <c r="C29" s="56" t="s">
        <v>206</v>
      </c>
      <c r="D29" s="57" t="s">
        <v>207</v>
      </c>
      <c r="E29" s="57">
        <v>68</v>
      </c>
      <c r="F29" s="68"/>
      <c r="G29" s="68"/>
      <c r="H29" s="68"/>
      <c r="I29" s="190"/>
      <c r="J29" s="190"/>
      <c r="K29" s="190"/>
      <c r="L29" s="70">
        <f t="shared" si="0"/>
        <v>0</v>
      </c>
      <c r="M29" s="70">
        <f t="shared" si="1"/>
        <v>0</v>
      </c>
      <c r="N29" s="70">
        <f t="shared" si="2"/>
        <v>0</v>
      </c>
      <c r="O29" s="70">
        <f t="shared" si="3"/>
        <v>0</v>
      </c>
    </row>
    <row r="30" spans="1:15" x14ac:dyDescent="0.25">
      <c r="A30" s="55"/>
      <c r="B30" s="58" t="s">
        <v>208</v>
      </c>
      <c r="C30" s="56" t="s">
        <v>209</v>
      </c>
      <c r="D30" s="57">
        <v>420</v>
      </c>
      <c r="E30" s="57">
        <v>60</v>
      </c>
      <c r="F30" s="68"/>
      <c r="G30" s="68"/>
      <c r="H30" s="68"/>
      <c r="I30" s="190"/>
      <c r="J30" s="190"/>
      <c r="K30" s="190"/>
      <c r="L30" s="70">
        <f t="shared" si="0"/>
        <v>0</v>
      </c>
      <c r="M30" s="70">
        <f t="shared" si="1"/>
        <v>0</v>
      </c>
      <c r="N30" s="70">
        <f t="shared" si="2"/>
        <v>0</v>
      </c>
      <c r="O30" s="70">
        <f t="shared" si="3"/>
        <v>0</v>
      </c>
    </row>
    <row r="31" spans="1:15" x14ac:dyDescent="0.25">
      <c r="A31" s="55"/>
      <c r="B31" s="58" t="s">
        <v>210</v>
      </c>
      <c r="C31" s="56" t="s">
        <v>211</v>
      </c>
      <c r="D31" s="57" t="s">
        <v>212</v>
      </c>
      <c r="E31" s="57">
        <v>68</v>
      </c>
      <c r="F31" s="68"/>
      <c r="G31" s="68"/>
      <c r="H31" s="68"/>
      <c r="I31" s="190"/>
      <c r="J31" s="190"/>
      <c r="K31" s="190"/>
      <c r="L31" s="70">
        <f t="shared" si="0"/>
        <v>0</v>
      </c>
      <c r="M31" s="70">
        <f t="shared" si="1"/>
        <v>0</v>
      </c>
      <c r="N31" s="70">
        <f t="shared" si="2"/>
        <v>0</v>
      </c>
      <c r="O31" s="70">
        <f t="shared" si="3"/>
        <v>0</v>
      </c>
    </row>
    <row r="32" spans="1:15" ht="30" x14ac:dyDescent="0.25">
      <c r="A32" s="55"/>
      <c r="B32" s="52" t="s">
        <v>213</v>
      </c>
      <c r="C32" s="56" t="s">
        <v>214</v>
      </c>
      <c r="D32" s="57">
        <v>50</v>
      </c>
      <c r="E32" s="57">
        <v>55</v>
      </c>
      <c r="F32" s="68"/>
      <c r="G32" s="68"/>
      <c r="H32" s="68"/>
      <c r="I32" s="190"/>
      <c r="J32" s="190"/>
      <c r="K32" s="190"/>
      <c r="L32" s="70">
        <f t="shared" si="0"/>
        <v>0</v>
      </c>
      <c r="M32" s="70">
        <f t="shared" si="1"/>
        <v>0</v>
      </c>
      <c r="N32" s="70">
        <f t="shared" si="2"/>
        <v>0</v>
      </c>
      <c r="O32" s="70">
        <f t="shared" si="3"/>
        <v>0</v>
      </c>
    </row>
    <row r="33" spans="1:15" ht="30" x14ac:dyDescent="0.25">
      <c r="A33" s="44" t="s">
        <v>215</v>
      </c>
      <c r="B33" s="52" t="s">
        <v>216</v>
      </c>
      <c r="C33" s="56" t="s">
        <v>217</v>
      </c>
      <c r="D33" s="57" t="s">
        <v>218</v>
      </c>
      <c r="E33" s="57">
        <v>62</v>
      </c>
      <c r="F33" s="68">
        <v>12</v>
      </c>
      <c r="G33" s="68">
        <v>350</v>
      </c>
      <c r="H33" s="68">
        <v>62</v>
      </c>
      <c r="I33" s="190">
        <v>600</v>
      </c>
      <c r="J33" s="190"/>
      <c r="K33" s="190">
        <v>15</v>
      </c>
      <c r="L33" s="70">
        <f t="shared" si="0"/>
        <v>210000</v>
      </c>
      <c r="M33" s="70">
        <f t="shared" si="1"/>
        <v>130200</v>
      </c>
      <c r="N33" s="70">
        <f t="shared" si="2"/>
        <v>0</v>
      </c>
      <c r="O33" s="70">
        <f t="shared" si="3"/>
        <v>9000</v>
      </c>
    </row>
    <row r="34" spans="1:15" x14ac:dyDescent="0.25">
      <c r="A34" s="55"/>
      <c r="B34" s="52" t="s">
        <v>219</v>
      </c>
      <c r="C34" s="56" t="s">
        <v>220</v>
      </c>
      <c r="D34" s="56" t="s">
        <v>221</v>
      </c>
      <c r="E34" s="57">
        <v>56</v>
      </c>
      <c r="F34" s="68"/>
      <c r="G34" s="68"/>
      <c r="H34" s="68"/>
      <c r="I34" s="190"/>
      <c r="J34" s="190"/>
      <c r="K34" s="190"/>
      <c r="L34" s="70">
        <f t="shared" si="0"/>
        <v>0</v>
      </c>
      <c r="M34" s="70">
        <f t="shared" si="1"/>
        <v>0</v>
      </c>
      <c r="N34" s="70">
        <f t="shared" si="2"/>
        <v>0</v>
      </c>
      <c r="O34" s="70">
        <f t="shared" si="3"/>
        <v>0</v>
      </c>
    </row>
    <row r="35" spans="1:15" x14ac:dyDescent="0.25">
      <c r="A35" s="55"/>
      <c r="B35" s="52" t="s">
        <v>222</v>
      </c>
      <c r="C35" s="56">
        <v>80</v>
      </c>
      <c r="D35" s="57" t="s">
        <v>223</v>
      </c>
      <c r="E35" s="57">
        <v>58</v>
      </c>
      <c r="F35" s="68"/>
      <c r="G35" s="68"/>
      <c r="H35" s="68"/>
      <c r="I35" s="190"/>
      <c r="J35" s="190"/>
      <c r="K35" s="190"/>
      <c r="L35" s="70">
        <f t="shared" si="0"/>
        <v>0</v>
      </c>
      <c r="M35" s="70">
        <f t="shared" si="1"/>
        <v>0</v>
      </c>
      <c r="N35" s="70">
        <f t="shared" si="2"/>
        <v>0</v>
      </c>
      <c r="O35" s="70">
        <f t="shared" si="3"/>
        <v>0</v>
      </c>
    </row>
    <row r="36" spans="1:15" x14ac:dyDescent="0.25">
      <c r="A36" s="55"/>
      <c r="B36" s="52" t="s">
        <v>224</v>
      </c>
      <c r="C36" s="56" t="s">
        <v>225</v>
      </c>
      <c r="D36" s="57" t="s">
        <v>226</v>
      </c>
      <c r="E36" s="57">
        <v>55</v>
      </c>
      <c r="F36" s="68"/>
      <c r="G36" s="68"/>
      <c r="H36" s="68"/>
      <c r="I36" s="190"/>
      <c r="J36" s="190"/>
      <c r="K36" s="190"/>
      <c r="L36" s="70">
        <f t="shared" si="0"/>
        <v>0</v>
      </c>
      <c r="M36" s="70">
        <f t="shared" si="1"/>
        <v>0</v>
      </c>
      <c r="N36" s="70">
        <f t="shared" si="2"/>
        <v>0</v>
      </c>
      <c r="O36" s="70">
        <f t="shared" si="3"/>
        <v>0</v>
      </c>
    </row>
    <row r="37" spans="1:15" x14ac:dyDescent="0.25">
      <c r="A37" s="55"/>
      <c r="B37" s="52" t="s">
        <v>32</v>
      </c>
      <c r="C37" s="56">
        <v>33</v>
      </c>
      <c r="D37" s="57">
        <v>190</v>
      </c>
      <c r="E37" s="57">
        <v>55</v>
      </c>
      <c r="F37" s="68"/>
      <c r="G37" s="68"/>
      <c r="H37" s="68"/>
      <c r="I37" s="190"/>
      <c r="J37" s="190"/>
      <c r="K37" s="190"/>
      <c r="L37" s="70">
        <f t="shared" si="0"/>
        <v>0</v>
      </c>
      <c r="M37" s="70">
        <f t="shared" si="1"/>
        <v>0</v>
      </c>
      <c r="N37" s="70">
        <f t="shared" si="2"/>
        <v>0</v>
      </c>
      <c r="O37" s="70">
        <f t="shared" si="3"/>
        <v>0</v>
      </c>
    </row>
    <row r="38" spans="1:15" x14ac:dyDescent="0.25">
      <c r="A38" s="55"/>
      <c r="B38" s="52" t="s">
        <v>33</v>
      </c>
      <c r="C38" s="56">
        <v>87</v>
      </c>
      <c r="D38" s="57">
        <v>620</v>
      </c>
      <c r="E38" s="57">
        <v>52</v>
      </c>
      <c r="F38" s="68"/>
      <c r="G38" s="68"/>
      <c r="H38" s="68"/>
      <c r="I38" s="190"/>
      <c r="J38" s="190"/>
      <c r="K38" s="190"/>
      <c r="L38" s="70">
        <f t="shared" si="0"/>
        <v>0</v>
      </c>
      <c r="M38" s="70">
        <f t="shared" si="1"/>
        <v>0</v>
      </c>
      <c r="N38" s="70">
        <f t="shared" si="2"/>
        <v>0</v>
      </c>
      <c r="O38" s="70">
        <f t="shared" si="3"/>
        <v>0</v>
      </c>
    </row>
    <row r="39" spans="1:15" x14ac:dyDescent="0.25">
      <c r="A39" s="55"/>
      <c r="B39" s="52" t="s">
        <v>288</v>
      </c>
      <c r="C39" s="56">
        <v>23</v>
      </c>
      <c r="D39" s="57">
        <v>130</v>
      </c>
      <c r="E39" s="57">
        <v>55</v>
      </c>
      <c r="F39" s="68"/>
      <c r="G39" s="68"/>
      <c r="H39" s="68"/>
      <c r="I39" s="190"/>
      <c r="J39" s="190"/>
      <c r="K39" s="190"/>
      <c r="L39" s="70">
        <f t="shared" si="0"/>
        <v>0</v>
      </c>
      <c r="M39" s="70">
        <f t="shared" si="1"/>
        <v>0</v>
      </c>
      <c r="N39" s="70">
        <f t="shared" si="2"/>
        <v>0</v>
      </c>
      <c r="O39" s="70">
        <f t="shared" si="3"/>
        <v>0</v>
      </c>
    </row>
    <row r="40" spans="1:15" x14ac:dyDescent="0.25">
      <c r="A40" s="55"/>
      <c r="B40" s="52" t="s">
        <v>289</v>
      </c>
      <c r="C40" s="56">
        <v>16</v>
      </c>
      <c r="D40" s="57">
        <v>90</v>
      </c>
      <c r="E40" s="57">
        <v>56</v>
      </c>
      <c r="F40" s="68"/>
      <c r="G40" s="68"/>
      <c r="H40" s="68"/>
      <c r="I40" s="190"/>
      <c r="J40" s="190"/>
      <c r="K40" s="190"/>
      <c r="L40" s="70">
        <f t="shared" si="0"/>
        <v>0</v>
      </c>
      <c r="M40" s="70">
        <f t="shared" si="1"/>
        <v>0</v>
      </c>
      <c r="N40" s="70">
        <f t="shared" si="2"/>
        <v>0</v>
      </c>
      <c r="O40" s="70">
        <f t="shared" si="3"/>
        <v>0</v>
      </c>
    </row>
    <row r="41" spans="1:15" x14ac:dyDescent="0.25">
      <c r="A41" s="55"/>
      <c r="B41" s="52" t="s">
        <v>227</v>
      </c>
      <c r="C41" s="56" t="s">
        <v>228</v>
      </c>
      <c r="D41" s="57" t="s">
        <v>229</v>
      </c>
      <c r="E41" s="57">
        <v>55</v>
      </c>
      <c r="F41" s="68"/>
      <c r="G41" s="68"/>
      <c r="H41" s="68"/>
      <c r="I41" s="190"/>
      <c r="J41" s="190"/>
      <c r="K41" s="190"/>
      <c r="L41" s="70">
        <f t="shared" si="0"/>
        <v>0</v>
      </c>
      <c r="M41" s="70">
        <f t="shared" si="1"/>
        <v>0</v>
      </c>
      <c r="N41" s="70">
        <f t="shared" si="2"/>
        <v>0</v>
      </c>
      <c r="O41" s="70">
        <f t="shared" si="3"/>
        <v>0</v>
      </c>
    </row>
    <row r="42" spans="1:15" x14ac:dyDescent="0.25">
      <c r="A42" s="55"/>
      <c r="B42" s="52" t="s">
        <v>230</v>
      </c>
      <c r="C42" s="56" t="s">
        <v>231</v>
      </c>
      <c r="D42" s="57" t="s">
        <v>232</v>
      </c>
      <c r="E42" s="57">
        <v>50</v>
      </c>
      <c r="F42" s="68"/>
      <c r="G42" s="68"/>
      <c r="H42" s="68"/>
      <c r="I42" s="190"/>
      <c r="J42" s="190"/>
      <c r="K42" s="190"/>
      <c r="L42" s="70">
        <f t="shared" si="0"/>
        <v>0</v>
      </c>
      <c r="M42" s="70">
        <f t="shared" si="1"/>
        <v>0</v>
      </c>
      <c r="N42" s="70">
        <f t="shared" si="2"/>
        <v>0</v>
      </c>
      <c r="O42" s="70">
        <f t="shared" si="3"/>
        <v>0</v>
      </c>
    </row>
    <row r="43" spans="1:15" x14ac:dyDescent="0.25">
      <c r="A43" s="55"/>
      <c r="B43" s="52" t="s">
        <v>233</v>
      </c>
      <c r="C43" s="56" t="s">
        <v>234</v>
      </c>
      <c r="D43" s="57" t="s">
        <v>235</v>
      </c>
      <c r="E43" s="57">
        <v>60</v>
      </c>
      <c r="F43" s="68"/>
      <c r="G43" s="68"/>
      <c r="H43" s="68"/>
      <c r="I43" s="190"/>
      <c r="J43" s="190"/>
      <c r="K43" s="190"/>
      <c r="L43" s="70">
        <f t="shared" si="0"/>
        <v>0</v>
      </c>
      <c r="M43" s="70">
        <f t="shared" si="1"/>
        <v>0</v>
      </c>
      <c r="N43" s="70">
        <f t="shared" si="2"/>
        <v>0</v>
      </c>
      <c r="O43" s="70">
        <f t="shared" si="3"/>
        <v>0</v>
      </c>
    </row>
    <row r="44" spans="1:15" ht="45" x14ac:dyDescent="0.25">
      <c r="A44" s="44" t="s">
        <v>236</v>
      </c>
      <c r="B44" s="52" t="s">
        <v>237</v>
      </c>
      <c r="C44" s="56" t="s">
        <v>238</v>
      </c>
      <c r="D44" s="57" t="s">
        <v>239</v>
      </c>
      <c r="E44" s="57">
        <v>62</v>
      </c>
      <c r="F44" s="68">
        <v>42</v>
      </c>
      <c r="G44" s="68">
        <v>160</v>
      </c>
      <c r="H44" s="68">
        <v>62</v>
      </c>
      <c r="I44" s="190">
        <v>7000</v>
      </c>
      <c r="J44" s="190"/>
      <c r="K44" s="190">
        <v>12</v>
      </c>
      <c r="L44" s="70">
        <f t="shared" si="0"/>
        <v>1120000</v>
      </c>
      <c r="M44" s="70">
        <f t="shared" si="1"/>
        <v>694400</v>
      </c>
      <c r="N44" s="70">
        <f t="shared" si="2"/>
        <v>0</v>
      </c>
      <c r="O44" s="70">
        <f t="shared" si="3"/>
        <v>84000</v>
      </c>
    </row>
    <row r="45" spans="1:15" x14ac:dyDescent="0.25">
      <c r="A45" s="55"/>
      <c r="B45" s="52" t="s">
        <v>240</v>
      </c>
      <c r="C45" s="56">
        <v>25</v>
      </c>
      <c r="D45" s="57">
        <v>180</v>
      </c>
      <c r="E45" s="57">
        <v>56</v>
      </c>
      <c r="F45" s="68">
        <v>25</v>
      </c>
      <c r="G45" s="68">
        <v>180</v>
      </c>
      <c r="H45" s="68">
        <v>56</v>
      </c>
      <c r="I45" s="190">
        <v>100</v>
      </c>
      <c r="J45" s="190"/>
      <c r="K45" s="190">
        <v>20</v>
      </c>
      <c r="L45" s="70">
        <f t="shared" si="0"/>
        <v>18000</v>
      </c>
      <c r="M45" s="70">
        <f t="shared" si="1"/>
        <v>10080</v>
      </c>
      <c r="N45" s="70">
        <f t="shared" si="2"/>
        <v>0</v>
      </c>
      <c r="O45" s="70">
        <f t="shared" si="3"/>
        <v>2000</v>
      </c>
    </row>
    <row r="46" spans="1:15" ht="30" x14ac:dyDescent="0.25">
      <c r="A46" s="55"/>
      <c r="B46" s="52" t="s">
        <v>241</v>
      </c>
      <c r="C46" s="56" t="s">
        <v>242</v>
      </c>
      <c r="D46" s="57" t="s">
        <v>243</v>
      </c>
      <c r="E46" s="57">
        <v>58</v>
      </c>
      <c r="F46" s="68"/>
      <c r="G46" s="68"/>
      <c r="H46" s="68"/>
      <c r="I46" s="190"/>
      <c r="J46" s="190"/>
      <c r="K46" s="190"/>
      <c r="L46" s="70">
        <f t="shared" si="0"/>
        <v>0</v>
      </c>
      <c r="M46" s="70">
        <f t="shared" si="1"/>
        <v>0</v>
      </c>
      <c r="N46" s="70">
        <f t="shared" si="2"/>
        <v>0</v>
      </c>
      <c r="O46" s="70">
        <f t="shared" si="3"/>
        <v>0</v>
      </c>
    </row>
    <row r="47" spans="1:15" ht="30.75" customHeight="1" x14ac:dyDescent="0.25">
      <c r="A47" s="55"/>
      <c r="B47" s="52" t="s">
        <v>244</v>
      </c>
      <c r="C47" s="56" t="s">
        <v>245</v>
      </c>
      <c r="D47" s="57" t="s">
        <v>246</v>
      </c>
      <c r="E47" s="57">
        <v>55</v>
      </c>
      <c r="F47" s="68"/>
      <c r="G47" s="68"/>
      <c r="H47" s="68"/>
      <c r="I47" s="190"/>
      <c r="J47" s="190"/>
      <c r="K47" s="190"/>
      <c r="L47" s="70">
        <f t="shared" si="0"/>
        <v>0</v>
      </c>
      <c r="M47" s="70">
        <f t="shared" si="1"/>
        <v>0</v>
      </c>
      <c r="N47" s="70">
        <f t="shared" si="2"/>
        <v>0</v>
      </c>
      <c r="O47" s="70">
        <f t="shared" si="3"/>
        <v>0</v>
      </c>
    </row>
    <row r="48" spans="1:15" x14ac:dyDescent="0.25">
      <c r="A48" s="55"/>
      <c r="B48" s="52" t="s">
        <v>247</v>
      </c>
      <c r="C48" s="56" t="s">
        <v>248</v>
      </c>
      <c r="D48" s="57" t="s">
        <v>249</v>
      </c>
      <c r="E48" s="57">
        <v>58</v>
      </c>
      <c r="F48" s="68"/>
      <c r="G48" s="68"/>
      <c r="H48" s="68"/>
      <c r="I48" s="190"/>
      <c r="J48" s="190"/>
      <c r="K48" s="190"/>
      <c r="L48" s="70">
        <f t="shared" si="0"/>
        <v>0</v>
      </c>
      <c r="M48" s="70">
        <f t="shared" si="1"/>
        <v>0</v>
      </c>
      <c r="N48" s="70">
        <f t="shared" si="2"/>
        <v>0</v>
      </c>
      <c r="O48" s="70">
        <f t="shared" si="3"/>
        <v>0</v>
      </c>
    </row>
    <row r="49" spans="1:15" x14ac:dyDescent="0.25">
      <c r="A49" s="55"/>
      <c r="B49" s="52" t="s">
        <v>250</v>
      </c>
      <c r="C49" s="56" t="s">
        <v>251</v>
      </c>
      <c r="D49" s="59">
        <v>1100</v>
      </c>
      <c r="E49" s="57">
        <v>66</v>
      </c>
      <c r="F49" s="68"/>
      <c r="G49" s="68"/>
      <c r="H49" s="68"/>
      <c r="I49" s="190"/>
      <c r="J49" s="190"/>
      <c r="K49" s="190"/>
      <c r="L49" s="70">
        <f t="shared" si="0"/>
        <v>0</v>
      </c>
      <c r="M49" s="70">
        <f t="shared" si="1"/>
        <v>0</v>
      </c>
      <c r="N49" s="70">
        <f t="shared" si="2"/>
        <v>0</v>
      </c>
      <c r="O49" s="70">
        <f t="shared" si="3"/>
        <v>0</v>
      </c>
    </row>
    <row r="50" spans="1:15" x14ac:dyDescent="0.25">
      <c r="A50" s="55"/>
      <c r="B50" s="52" t="s">
        <v>252</v>
      </c>
      <c r="C50" s="56">
        <v>25</v>
      </c>
      <c r="D50" s="57" t="s">
        <v>253</v>
      </c>
      <c r="E50" s="57">
        <v>54</v>
      </c>
      <c r="F50" s="68"/>
      <c r="G50" s="68"/>
      <c r="H50" s="68"/>
      <c r="I50" s="190"/>
      <c r="J50" s="190"/>
      <c r="K50" s="190"/>
      <c r="L50" s="70">
        <f t="shared" si="0"/>
        <v>0</v>
      </c>
      <c r="M50" s="70">
        <f t="shared" si="1"/>
        <v>0</v>
      </c>
      <c r="N50" s="70">
        <f t="shared" si="2"/>
        <v>0</v>
      </c>
      <c r="O50" s="70">
        <f t="shared" si="3"/>
        <v>0</v>
      </c>
    </row>
    <row r="51" spans="1:15" x14ac:dyDescent="0.25">
      <c r="A51" s="55"/>
      <c r="B51" s="52" t="s">
        <v>254</v>
      </c>
      <c r="C51" s="56">
        <v>8</v>
      </c>
      <c r="D51" s="57">
        <v>560</v>
      </c>
      <c r="E51" s="57">
        <v>55</v>
      </c>
      <c r="F51" s="68"/>
      <c r="G51" s="68"/>
      <c r="H51" s="68"/>
      <c r="I51" s="190"/>
      <c r="J51" s="190"/>
      <c r="K51" s="190"/>
      <c r="L51" s="70">
        <f t="shared" si="0"/>
        <v>0</v>
      </c>
      <c r="M51" s="70">
        <f t="shared" si="1"/>
        <v>0</v>
      </c>
      <c r="N51" s="70">
        <f t="shared" si="2"/>
        <v>0</v>
      </c>
      <c r="O51" s="70">
        <f t="shared" si="3"/>
        <v>0</v>
      </c>
    </row>
    <row r="52" spans="1:15" x14ac:dyDescent="0.25">
      <c r="A52" s="55"/>
      <c r="B52" s="52" t="s">
        <v>255</v>
      </c>
      <c r="C52" s="56" t="s">
        <v>256</v>
      </c>
      <c r="D52" s="57" t="s">
        <v>257</v>
      </c>
      <c r="E52" s="57">
        <v>62</v>
      </c>
      <c r="F52" s="68">
        <v>60</v>
      </c>
      <c r="G52" s="68">
        <v>650</v>
      </c>
      <c r="H52" s="68">
        <v>62</v>
      </c>
      <c r="I52" s="190">
        <v>120</v>
      </c>
      <c r="J52" s="190"/>
      <c r="K52" s="190">
        <v>40</v>
      </c>
      <c r="L52" s="70">
        <f t="shared" si="0"/>
        <v>78000</v>
      </c>
      <c r="M52" s="70">
        <f t="shared" si="1"/>
        <v>48360</v>
      </c>
      <c r="N52" s="70">
        <f t="shared" si="2"/>
        <v>0</v>
      </c>
      <c r="O52" s="70">
        <f t="shared" si="3"/>
        <v>4800</v>
      </c>
    </row>
    <row r="53" spans="1:15" ht="30" x14ac:dyDescent="0.25">
      <c r="A53" s="44" t="s">
        <v>258</v>
      </c>
      <c r="B53" s="52" t="s">
        <v>259</v>
      </c>
      <c r="C53" s="56" t="s">
        <v>260</v>
      </c>
      <c r="D53" s="57" t="s">
        <v>261</v>
      </c>
      <c r="E53" s="57" t="s">
        <v>260</v>
      </c>
      <c r="F53" s="68"/>
      <c r="G53" s="68"/>
      <c r="H53" s="68"/>
      <c r="I53" s="190"/>
      <c r="J53" s="190"/>
      <c r="K53" s="190"/>
      <c r="L53" s="70">
        <f t="shared" si="0"/>
        <v>0</v>
      </c>
      <c r="M53" s="70">
        <f t="shared" si="1"/>
        <v>0</v>
      </c>
      <c r="N53" s="70">
        <f t="shared" si="2"/>
        <v>0</v>
      </c>
      <c r="O53" s="70">
        <f t="shared" si="3"/>
        <v>0</v>
      </c>
    </row>
    <row r="54" spans="1:15" x14ac:dyDescent="0.25">
      <c r="A54" s="55"/>
      <c r="B54" s="52" t="s">
        <v>262</v>
      </c>
      <c r="C54" s="56" t="s">
        <v>263</v>
      </c>
      <c r="D54" s="57" t="s">
        <v>264</v>
      </c>
      <c r="E54" s="57" t="s">
        <v>260</v>
      </c>
      <c r="F54" s="68"/>
      <c r="G54" s="68"/>
      <c r="H54" s="68"/>
      <c r="I54" s="190"/>
      <c r="J54" s="190"/>
      <c r="K54" s="190"/>
      <c r="L54" s="70">
        <f t="shared" si="0"/>
        <v>0</v>
      </c>
      <c r="M54" s="70">
        <f t="shared" si="1"/>
        <v>0</v>
      </c>
      <c r="N54" s="70">
        <f t="shared" si="2"/>
        <v>0</v>
      </c>
      <c r="O54" s="70">
        <f t="shared" si="3"/>
        <v>0</v>
      </c>
    </row>
    <row r="55" spans="1:15" x14ac:dyDescent="0.25">
      <c r="A55" s="55"/>
      <c r="B55" s="52" t="s">
        <v>265</v>
      </c>
      <c r="C55" s="56" t="s">
        <v>260</v>
      </c>
      <c r="D55" s="59">
        <v>1000</v>
      </c>
      <c r="E55" s="57">
        <v>65</v>
      </c>
      <c r="F55" s="68"/>
      <c r="G55" s="68"/>
      <c r="H55" s="68"/>
      <c r="I55" s="190"/>
      <c r="J55" s="190"/>
      <c r="K55" s="190"/>
      <c r="L55" s="70">
        <f t="shared" si="0"/>
        <v>0</v>
      </c>
      <c r="M55" s="70">
        <f t="shared" si="1"/>
        <v>0</v>
      </c>
      <c r="N55" s="70">
        <f t="shared" si="2"/>
        <v>0</v>
      </c>
      <c r="O55" s="70">
        <f t="shared" si="3"/>
        <v>0</v>
      </c>
    </row>
    <row r="56" spans="1:15" x14ac:dyDescent="0.25">
      <c r="A56" s="55"/>
      <c r="B56" s="52" t="s">
        <v>266</v>
      </c>
      <c r="C56" s="56">
        <v>18</v>
      </c>
      <c r="D56" s="57">
        <v>420</v>
      </c>
      <c r="E56" s="57" t="s">
        <v>260</v>
      </c>
      <c r="F56" s="68"/>
      <c r="G56" s="68"/>
      <c r="H56" s="68"/>
      <c r="I56" s="190"/>
      <c r="J56" s="190"/>
      <c r="K56" s="190"/>
      <c r="L56" s="70">
        <f t="shared" si="0"/>
        <v>0</v>
      </c>
      <c r="M56" s="70">
        <f t="shared" si="1"/>
        <v>0</v>
      </c>
      <c r="N56" s="70">
        <f t="shared" si="2"/>
        <v>0</v>
      </c>
      <c r="O56" s="70">
        <f t="shared" si="3"/>
        <v>0</v>
      </c>
    </row>
    <row r="57" spans="1:15" x14ac:dyDescent="0.25">
      <c r="A57" s="55"/>
      <c r="B57" s="52" t="s">
        <v>267</v>
      </c>
      <c r="C57" s="56" t="s">
        <v>260</v>
      </c>
      <c r="D57" s="57">
        <v>60</v>
      </c>
      <c r="E57" s="57">
        <v>55</v>
      </c>
      <c r="F57" s="68"/>
      <c r="G57" s="68"/>
      <c r="H57" s="68"/>
      <c r="I57" s="190"/>
      <c r="J57" s="190"/>
      <c r="K57" s="190"/>
      <c r="L57" s="70">
        <f t="shared" si="0"/>
        <v>0</v>
      </c>
      <c r="M57" s="70">
        <f t="shared" si="1"/>
        <v>0</v>
      </c>
      <c r="N57" s="70">
        <f t="shared" si="2"/>
        <v>0</v>
      </c>
      <c r="O57" s="70">
        <f t="shared" si="3"/>
        <v>0</v>
      </c>
    </row>
    <row r="58" spans="1:15" x14ac:dyDescent="0.25">
      <c r="A58" s="55" t="s">
        <v>31</v>
      </c>
      <c r="B58" s="52" t="s">
        <v>268</v>
      </c>
      <c r="C58" s="56" t="s">
        <v>273</v>
      </c>
      <c r="D58" s="57">
        <v>25</v>
      </c>
      <c r="E58" s="57">
        <v>56.000000000000007</v>
      </c>
      <c r="F58" s="68"/>
      <c r="G58" s="68"/>
      <c r="H58" s="68"/>
      <c r="I58" s="190"/>
      <c r="J58" s="190"/>
      <c r="K58" s="190"/>
      <c r="L58" s="70">
        <f t="shared" si="0"/>
        <v>0</v>
      </c>
      <c r="M58" s="70">
        <f t="shared" si="1"/>
        <v>0</v>
      </c>
      <c r="N58" s="70">
        <f t="shared" si="2"/>
        <v>0</v>
      </c>
      <c r="O58" s="70">
        <f t="shared" si="3"/>
        <v>0</v>
      </c>
    </row>
    <row r="59" spans="1:15" x14ac:dyDescent="0.25">
      <c r="A59" s="55"/>
      <c r="B59" s="52" t="s">
        <v>269</v>
      </c>
      <c r="C59" s="56" t="s">
        <v>274</v>
      </c>
      <c r="D59" s="57">
        <v>28</v>
      </c>
      <c r="E59" s="57">
        <v>61</v>
      </c>
      <c r="F59" s="68"/>
      <c r="G59" s="68"/>
      <c r="H59" s="68"/>
      <c r="I59" s="190"/>
      <c r="J59" s="190"/>
      <c r="K59" s="190"/>
      <c r="L59" s="70">
        <f t="shared" si="0"/>
        <v>0</v>
      </c>
      <c r="M59" s="70">
        <f t="shared" si="1"/>
        <v>0</v>
      </c>
      <c r="N59" s="70">
        <f t="shared" si="2"/>
        <v>0</v>
      </c>
      <c r="O59" s="70">
        <f t="shared" si="3"/>
        <v>0</v>
      </c>
    </row>
    <row r="60" spans="1:15" x14ac:dyDescent="0.25">
      <c r="A60" s="55"/>
      <c r="B60" s="52" t="s">
        <v>270</v>
      </c>
      <c r="C60" s="56" t="s">
        <v>275</v>
      </c>
      <c r="D60" s="57">
        <v>80</v>
      </c>
      <c r="E60" s="57">
        <v>55.000000000000007</v>
      </c>
      <c r="F60" s="68"/>
      <c r="G60" s="68"/>
      <c r="H60" s="68"/>
      <c r="I60" s="190"/>
      <c r="J60" s="190"/>
      <c r="K60" s="190"/>
      <c r="L60" s="70">
        <f t="shared" si="0"/>
        <v>0</v>
      </c>
      <c r="M60" s="70">
        <f t="shared" si="1"/>
        <v>0</v>
      </c>
      <c r="N60" s="70">
        <f t="shared" si="2"/>
        <v>0</v>
      </c>
      <c r="O60" s="70">
        <f t="shared" si="3"/>
        <v>0</v>
      </c>
    </row>
    <row r="61" spans="1:15" x14ac:dyDescent="0.25">
      <c r="A61" s="55"/>
      <c r="B61" s="52" t="s">
        <v>271</v>
      </c>
      <c r="C61" s="56" t="s">
        <v>275</v>
      </c>
      <c r="D61" s="57">
        <v>80</v>
      </c>
      <c r="E61" s="57">
        <v>55.000000000000007</v>
      </c>
      <c r="F61" s="68"/>
      <c r="G61" s="68"/>
      <c r="H61" s="68"/>
      <c r="I61" s="190"/>
      <c r="J61" s="190"/>
      <c r="K61" s="190"/>
      <c r="L61" s="70">
        <f t="shared" si="0"/>
        <v>0</v>
      </c>
      <c r="M61" s="70">
        <f t="shared" si="1"/>
        <v>0</v>
      </c>
      <c r="N61" s="70">
        <f t="shared" si="2"/>
        <v>0</v>
      </c>
      <c r="O61" s="70">
        <f t="shared" si="3"/>
        <v>0</v>
      </c>
    </row>
    <row r="62" spans="1:15" x14ac:dyDescent="0.25">
      <c r="A62" s="55"/>
      <c r="B62" s="52" t="s">
        <v>272</v>
      </c>
      <c r="C62" s="56" t="s">
        <v>276</v>
      </c>
      <c r="D62" s="57">
        <v>140</v>
      </c>
      <c r="E62" s="57">
        <v>64</v>
      </c>
      <c r="F62" s="68"/>
      <c r="G62" s="68"/>
      <c r="H62" s="68"/>
      <c r="I62" s="190"/>
      <c r="J62" s="190"/>
      <c r="K62" s="190"/>
      <c r="L62" s="70">
        <f t="shared" si="0"/>
        <v>0</v>
      </c>
      <c r="M62" s="70">
        <f t="shared" si="1"/>
        <v>0</v>
      </c>
      <c r="N62" s="70">
        <f t="shared" si="2"/>
        <v>0</v>
      </c>
      <c r="O62" s="70">
        <f t="shared" si="3"/>
        <v>0</v>
      </c>
    </row>
    <row r="63" spans="1:15" x14ac:dyDescent="0.25">
      <c r="A63" s="55" t="s">
        <v>388</v>
      </c>
      <c r="B63" s="189"/>
      <c r="C63" s="56"/>
      <c r="D63" s="57"/>
      <c r="E63" s="57"/>
      <c r="F63" s="68"/>
      <c r="G63" s="68"/>
      <c r="H63" s="68"/>
      <c r="I63" s="190"/>
      <c r="J63" s="190"/>
      <c r="K63" s="190"/>
      <c r="L63" s="70"/>
      <c r="M63" s="70"/>
      <c r="N63" s="185"/>
      <c r="O63" s="185"/>
    </row>
    <row r="64" spans="1:15" x14ac:dyDescent="0.25">
      <c r="A64" s="55"/>
      <c r="B64" s="189"/>
      <c r="C64" s="56"/>
      <c r="D64" s="57"/>
      <c r="E64" s="57"/>
      <c r="F64" s="68"/>
      <c r="G64" s="68"/>
      <c r="H64" s="68"/>
      <c r="I64" s="190"/>
      <c r="J64" s="190"/>
      <c r="K64" s="190"/>
      <c r="L64" s="70"/>
      <c r="M64" s="70"/>
      <c r="N64" s="185"/>
      <c r="O64" s="185"/>
    </row>
    <row r="65" spans="1:15" x14ac:dyDescent="0.25">
      <c r="A65" s="55"/>
      <c r="B65" s="189"/>
      <c r="C65" s="56"/>
      <c r="D65" s="57"/>
      <c r="E65" s="57"/>
      <c r="F65" s="68"/>
      <c r="G65" s="68"/>
      <c r="H65" s="68"/>
      <c r="I65" s="190"/>
      <c r="J65" s="190"/>
      <c r="K65" s="190"/>
      <c r="L65" s="70"/>
      <c r="M65" s="70"/>
      <c r="N65" s="185"/>
      <c r="O65" s="185"/>
    </row>
    <row r="66" spans="1:15" x14ac:dyDescent="0.25">
      <c r="A66" s="55"/>
      <c r="B66" s="189"/>
      <c r="C66" s="56"/>
      <c r="D66" s="57"/>
      <c r="E66" s="57"/>
      <c r="F66" s="68"/>
      <c r="G66" s="68"/>
      <c r="H66" s="68"/>
      <c r="I66" s="190"/>
      <c r="J66" s="190"/>
      <c r="K66" s="190"/>
      <c r="L66" s="70"/>
      <c r="M66" s="70"/>
      <c r="N66" s="185"/>
      <c r="O66" s="185"/>
    </row>
    <row r="67" spans="1:15" x14ac:dyDescent="0.25">
      <c r="A67" s="55"/>
      <c r="B67" s="189"/>
      <c r="C67" s="56"/>
      <c r="D67" s="57"/>
      <c r="E67" s="57"/>
      <c r="F67" s="68"/>
      <c r="G67" s="68"/>
      <c r="H67" s="68"/>
      <c r="I67" s="190"/>
      <c r="J67" s="190"/>
      <c r="K67" s="190"/>
      <c r="L67" s="70"/>
      <c r="M67" s="70"/>
      <c r="N67" s="185"/>
      <c r="O67" s="185"/>
    </row>
    <row r="68" spans="1:15" x14ac:dyDescent="0.25">
      <c r="A68" s="55"/>
      <c r="B68" s="189"/>
      <c r="C68" s="56"/>
      <c r="D68" s="57"/>
      <c r="E68" s="57"/>
      <c r="F68" s="68"/>
      <c r="G68" s="68"/>
      <c r="H68" s="68"/>
      <c r="I68" s="190"/>
      <c r="J68" s="190"/>
      <c r="K68" s="190"/>
      <c r="L68" s="70"/>
      <c r="M68" s="70"/>
      <c r="N68" s="185"/>
      <c r="O68" s="185"/>
    </row>
    <row r="69" spans="1:15" x14ac:dyDescent="0.25">
      <c r="A69" s="55"/>
      <c r="B69" s="60"/>
      <c r="C69" s="61"/>
      <c r="D69" s="60"/>
      <c r="E69" s="60"/>
      <c r="F69" s="60"/>
      <c r="G69" s="60"/>
      <c r="H69" s="60"/>
      <c r="I69" s="60"/>
      <c r="J69" s="60"/>
      <c r="K69" s="60"/>
      <c r="L69" s="60"/>
      <c r="M69" s="60"/>
      <c r="N69" s="73"/>
      <c r="O69" s="73"/>
    </row>
    <row r="70" spans="1:15" x14ac:dyDescent="0.25">
      <c r="A70" s="76"/>
      <c r="B70" s="77"/>
      <c r="C70" s="78"/>
      <c r="D70" s="13"/>
      <c r="E70" s="13"/>
      <c r="F70" s="13"/>
      <c r="G70" s="13"/>
      <c r="H70" s="16"/>
      <c r="I70" s="191" t="s">
        <v>284</v>
      </c>
      <c r="J70" s="191"/>
      <c r="K70" s="191"/>
      <c r="L70" s="71">
        <f>SUM(L15:L68)</f>
        <v>1526000</v>
      </c>
      <c r="M70" s="72" t="s">
        <v>100</v>
      </c>
      <c r="N70" s="74"/>
      <c r="O70" s="75"/>
    </row>
    <row r="71" spans="1:15" x14ac:dyDescent="0.25">
      <c r="I71" s="191" t="s">
        <v>285</v>
      </c>
      <c r="J71" s="191"/>
      <c r="K71" s="191"/>
      <c r="L71" s="70">
        <f>SUM(M15:M68)</f>
        <v>943040</v>
      </c>
      <c r="M71" s="66" t="s">
        <v>100</v>
      </c>
    </row>
    <row r="72" spans="1:15" x14ac:dyDescent="0.25">
      <c r="I72" s="191" t="s">
        <v>286</v>
      </c>
      <c r="J72" s="191"/>
      <c r="K72" s="191"/>
      <c r="L72" s="70">
        <f>SUM(N15:N68)</f>
        <v>0</v>
      </c>
      <c r="M72" s="66" t="s">
        <v>16</v>
      </c>
    </row>
    <row r="73" spans="1:15" x14ac:dyDescent="0.25">
      <c r="I73" s="191" t="s">
        <v>287</v>
      </c>
      <c r="J73" s="191"/>
      <c r="K73" s="191"/>
      <c r="L73" s="70">
        <f>SUM(O15:O68)</f>
        <v>106800</v>
      </c>
      <c r="M73" s="66" t="s">
        <v>16</v>
      </c>
    </row>
    <row r="74" spans="1:15" x14ac:dyDescent="0.25">
      <c r="I74" s="192" t="s">
        <v>291</v>
      </c>
      <c r="J74" s="193"/>
      <c r="K74" s="194"/>
      <c r="L74" s="70">
        <f>SUM(I15:I68)</f>
        <v>8020</v>
      </c>
      <c r="M74" s="66" t="s">
        <v>290</v>
      </c>
    </row>
  </sheetData>
  <sheetProtection algorithmName="SHA-512" hashValue="/6//uYKjLDcOQpaBsQgRpXNY3KagaSNid1BxNiW1OAjQg30e4SHyrKp+dvM5HGxj8d7f3Gf6aRdg/tYkgbe5Sg==" saltValue="S0ctXIwgaHvcN/+fy6yy6g==" spinCount="100000" sheet="1" objects="1" scenarios="1"/>
  <protectedRanges>
    <protectedRange sqref="F15:K68 B63:B68" name="Bereich1"/>
  </protectedRanges>
  <mergeCells count="7">
    <mergeCell ref="I73:K73"/>
    <mergeCell ref="I74:K74"/>
    <mergeCell ref="C12:E12"/>
    <mergeCell ref="F12:O12"/>
    <mergeCell ref="I70:K70"/>
    <mergeCell ref="I71:K71"/>
    <mergeCell ref="I72:K72"/>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dimension ref="A2:O80"/>
  <sheetViews>
    <sheetView showGridLines="0" workbookViewId="0"/>
  </sheetViews>
  <sheetFormatPr defaultColWidth="11.42578125" defaultRowHeight="15" x14ac:dyDescent="0.25"/>
  <cols>
    <col min="1" max="1" width="73.28515625" customWidth="1"/>
    <col min="2" max="2" width="15.7109375" customWidth="1"/>
    <col min="3" max="3" width="64.140625" bestFit="1" customWidth="1"/>
    <col min="4" max="4" width="20.140625" bestFit="1" customWidth="1"/>
    <col min="5" max="10" width="20.140625" customWidth="1"/>
    <col min="11" max="11" width="24.85546875" bestFit="1" customWidth="1"/>
    <col min="12" max="12" width="11.42578125" bestFit="1" customWidth="1"/>
    <col min="13" max="13" width="12.7109375" bestFit="1" customWidth="1"/>
    <col min="14" max="14" width="13.7109375" bestFit="1" customWidth="1"/>
  </cols>
  <sheetData>
    <row r="2" spans="1:14" ht="21" x14ac:dyDescent="0.35">
      <c r="A2" s="9" t="s">
        <v>316</v>
      </c>
    </row>
    <row r="3" spans="1:14" x14ac:dyDescent="0.25">
      <c r="A3" s="6"/>
    </row>
    <row r="4" spans="1:14" x14ac:dyDescent="0.25">
      <c r="A4" s="6" t="s">
        <v>322</v>
      </c>
    </row>
    <row r="5" spans="1:14" x14ac:dyDescent="0.25">
      <c r="A5" t="s">
        <v>323</v>
      </c>
    </row>
    <row r="6" spans="1:14" x14ac:dyDescent="0.25">
      <c r="A6" s="6" t="s">
        <v>367</v>
      </c>
    </row>
    <row r="8" spans="1:14" ht="18.75" x14ac:dyDescent="0.3">
      <c r="A8" s="4" t="s">
        <v>30</v>
      </c>
    </row>
    <row r="10" spans="1:14" ht="17.25" x14ac:dyDescent="0.25">
      <c r="A10" s="55" t="s">
        <v>389</v>
      </c>
      <c r="B10" s="63" t="s">
        <v>42</v>
      </c>
      <c r="C10" s="131" t="s">
        <v>320</v>
      </c>
      <c r="E10" s="7"/>
      <c r="F10" s="7"/>
      <c r="G10" s="7"/>
      <c r="H10" s="7"/>
      <c r="I10" s="7"/>
      <c r="J10" s="7"/>
      <c r="K10" s="7"/>
      <c r="L10" s="7"/>
      <c r="M10" s="7"/>
      <c r="N10" s="7"/>
    </row>
    <row r="11" spans="1:14" ht="17.25" x14ac:dyDescent="0.25">
      <c r="A11" s="55" t="s">
        <v>392</v>
      </c>
      <c r="B11" s="63" t="s">
        <v>42</v>
      </c>
      <c r="C11" s="131" t="s">
        <v>320</v>
      </c>
      <c r="E11" s="7"/>
      <c r="F11" s="7"/>
      <c r="G11" s="7"/>
      <c r="H11" s="7"/>
      <c r="I11" s="7"/>
      <c r="J11" s="7"/>
      <c r="K11" s="7"/>
      <c r="L11" s="7"/>
      <c r="M11" s="7"/>
      <c r="N11" s="7"/>
    </row>
    <row r="12" spans="1:14" x14ac:dyDescent="0.25">
      <c r="A12" s="55" t="s">
        <v>393</v>
      </c>
      <c r="B12" s="63" t="s">
        <v>42</v>
      </c>
      <c r="C12" s="131" t="s">
        <v>320</v>
      </c>
      <c r="E12" s="7"/>
      <c r="F12" s="7"/>
      <c r="G12" s="7"/>
      <c r="H12" s="7"/>
      <c r="I12" s="7"/>
      <c r="J12" s="7"/>
      <c r="K12" s="7"/>
      <c r="L12" s="7"/>
      <c r="M12" s="7"/>
      <c r="N12" s="7"/>
    </row>
    <row r="13" spans="1:14" x14ac:dyDescent="0.25">
      <c r="E13" s="7"/>
      <c r="F13" s="7"/>
      <c r="G13" s="7"/>
      <c r="H13" s="7"/>
      <c r="I13" s="7"/>
      <c r="J13" s="7"/>
      <c r="K13" s="7"/>
      <c r="L13" s="7"/>
      <c r="M13" s="7"/>
      <c r="N13" s="7"/>
    </row>
    <row r="14" spans="1:14" ht="18.75" x14ac:dyDescent="0.3">
      <c r="A14" s="4" t="s">
        <v>44</v>
      </c>
    </row>
    <row r="16" spans="1:14" x14ac:dyDescent="0.25">
      <c r="A16" s="89" t="s">
        <v>34</v>
      </c>
      <c r="B16" s="15"/>
      <c r="C16" s="14"/>
    </row>
    <row r="17" spans="1:3" x14ac:dyDescent="0.25">
      <c r="A17" s="60" t="s">
        <v>35</v>
      </c>
      <c r="B17" s="62">
        <v>90</v>
      </c>
      <c r="C17" s="131" t="s">
        <v>321</v>
      </c>
    </row>
    <row r="18" spans="1:3" x14ac:dyDescent="0.25">
      <c r="A18" s="60" t="s">
        <v>369</v>
      </c>
      <c r="B18" s="62" t="s">
        <v>42</v>
      </c>
      <c r="C18" s="131" t="s">
        <v>320</v>
      </c>
    </row>
    <row r="19" spans="1:3" x14ac:dyDescent="0.25">
      <c r="A19" s="60" t="s">
        <v>386</v>
      </c>
      <c r="B19" s="62">
        <v>98</v>
      </c>
      <c r="C19" s="131" t="s">
        <v>321</v>
      </c>
    </row>
    <row r="20" spans="1:3" x14ac:dyDescent="0.25">
      <c r="A20" s="13"/>
      <c r="B20" s="13"/>
      <c r="C20" s="14"/>
    </row>
    <row r="21" spans="1:3" x14ac:dyDescent="0.25">
      <c r="A21" s="89" t="s">
        <v>36</v>
      </c>
      <c r="B21" s="15"/>
      <c r="C21" s="14"/>
    </row>
    <row r="22" spans="1:3" x14ac:dyDescent="0.25">
      <c r="A22" s="60" t="s">
        <v>297</v>
      </c>
      <c r="B22" s="200">
        <v>2</v>
      </c>
      <c r="C22" s="138"/>
    </row>
    <row r="23" spans="1:3" x14ac:dyDescent="0.25">
      <c r="A23" s="60" t="s">
        <v>298</v>
      </c>
      <c r="B23" s="201"/>
      <c r="C23" s="139" t="s">
        <v>326</v>
      </c>
    </row>
    <row r="24" spans="1:3" x14ac:dyDescent="0.25">
      <c r="A24" s="60" t="s">
        <v>299</v>
      </c>
      <c r="B24" s="201"/>
      <c r="C24" s="139" t="s">
        <v>327</v>
      </c>
    </row>
    <row r="25" spans="1:3" x14ac:dyDescent="0.25">
      <c r="A25" s="60" t="s">
        <v>300</v>
      </c>
      <c r="B25" s="202"/>
      <c r="C25" s="138"/>
    </row>
    <row r="26" spans="1:3" x14ac:dyDescent="0.25">
      <c r="A26" s="14"/>
      <c r="B26" s="145"/>
      <c r="C26" s="144"/>
    </row>
    <row r="27" spans="1:3" ht="30" x14ac:dyDescent="0.25">
      <c r="A27" s="55" t="s">
        <v>368</v>
      </c>
      <c r="B27" s="63" t="s">
        <v>42</v>
      </c>
      <c r="C27" s="131" t="s">
        <v>320</v>
      </c>
    </row>
    <row r="28" spans="1:3" x14ac:dyDescent="0.25">
      <c r="A28" s="55" t="s">
        <v>370</v>
      </c>
      <c r="B28" s="63" t="s">
        <v>42</v>
      </c>
      <c r="C28" s="131" t="s">
        <v>320</v>
      </c>
    </row>
    <row r="29" spans="1:3" x14ac:dyDescent="0.25">
      <c r="A29" s="14"/>
      <c r="B29" s="145"/>
      <c r="C29" s="144"/>
    </row>
    <row r="30" spans="1:3" ht="18.75" x14ac:dyDescent="0.3">
      <c r="A30" s="4" t="s">
        <v>332</v>
      </c>
      <c r="B30" s="145"/>
      <c r="C30" s="144"/>
    </row>
    <row r="31" spans="1:3" x14ac:dyDescent="0.25">
      <c r="A31" s="6"/>
      <c r="B31" s="145"/>
      <c r="C31" s="144"/>
    </row>
    <row r="32" spans="1:3" x14ac:dyDescent="0.25">
      <c r="A32" s="147" t="s">
        <v>333</v>
      </c>
      <c r="B32" s="63">
        <v>20</v>
      </c>
      <c r="C32" s="131" t="s">
        <v>321</v>
      </c>
    </row>
    <row r="33" spans="1:3" x14ac:dyDescent="0.25">
      <c r="A33" s="147" t="s">
        <v>334</v>
      </c>
      <c r="B33" s="63">
        <v>50</v>
      </c>
      <c r="C33" s="131" t="s">
        <v>321</v>
      </c>
    </row>
    <row r="34" spans="1:3" x14ac:dyDescent="0.25">
      <c r="A34" s="147" t="s">
        <v>394</v>
      </c>
      <c r="B34" s="63">
        <v>30</v>
      </c>
      <c r="C34" s="131" t="s">
        <v>321</v>
      </c>
    </row>
    <row r="35" spans="1:3" x14ac:dyDescent="0.25">
      <c r="A35" s="147" t="s">
        <v>335</v>
      </c>
      <c r="B35" s="150">
        <f>SUM(B32:B34)</f>
        <v>100</v>
      </c>
      <c r="C35" s="169" t="str">
        <f>IF(B35&lt;&gt;100,"ERROR: sum of shares must be 100%, otherwise calculations will not give you any useful information"," ")</f>
        <v xml:space="preserve"> </v>
      </c>
    </row>
    <row r="36" spans="1:3" x14ac:dyDescent="0.25">
      <c r="A36" s="14"/>
      <c r="B36" s="162"/>
      <c r="C36" s="144"/>
    </row>
    <row r="37" spans="1:3" ht="18.75" x14ac:dyDescent="0.3">
      <c r="A37" s="4" t="s">
        <v>328</v>
      </c>
      <c r="B37" s="145"/>
      <c r="C37" s="144"/>
    </row>
    <row r="38" spans="1:3" x14ac:dyDescent="0.25">
      <c r="A38" s="151" t="s">
        <v>336</v>
      </c>
      <c r="B38" s="145"/>
      <c r="C38" s="144"/>
    </row>
    <row r="39" spans="1:3" x14ac:dyDescent="0.25">
      <c r="A39" s="147" t="s">
        <v>420</v>
      </c>
      <c r="B39" s="91">
        <v>2300</v>
      </c>
      <c r="C39" s="144"/>
    </row>
    <row r="40" spans="1:3" x14ac:dyDescent="0.25">
      <c r="A40" s="147" t="s">
        <v>395</v>
      </c>
      <c r="B40" s="91">
        <v>3</v>
      </c>
      <c r="C40" s="144"/>
    </row>
    <row r="41" spans="1:3" x14ac:dyDescent="0.25">
      <c r="A41" s="147" t="s">
        <v>330</v>
      </c>
      <c r="B41" s="91">
        <v>20</v>
      </c>
      <c r="C41" s="144"/>
    </row>
    <row r="42" spans="1:3" x14ac:dyDescent="0.25">
      <c r="A42" s="147" t="s">
        <v>331</v>
      </c>
      <c r="B42" s="164">
        <v>2.5</v>
      </c>
      <c r="C42" s="144"/>
    </row>
    <row r="43" spans="1:3" x14ac:dyDescent="0.25">
      <c r="A43" s="147" t="s">
        <v>421</v>
      </c>
      <c r="B43" s="91">
        <v>80000</v>
      </c>
      <c r="C43" s="144"/>
    </row>
    <row r="44" spans="1:3" x14ac:dyDescent="0.25">
      <c r="A44" s="22"/>
      <c r="B44" s="146"/>
      <c r="C44" s="144"/>
    </row>
    <row r="45" spans="1:3" ht="30" x14ac:dyDescent="0.25">
      <c r="A45" s="158" t="s">
        <v>362</v>
      </c>
      <c r="B45" s="91" t="s">
        <v>42</v>
      </c>
      <c r="C45" s="177" t="s">
        <v>320</v>
      </c>
    </row>
    <row r="46" spans="1:3" x14ac:dyDescent="0.25">
      <c r="A46" s="147" t="s">
        <v>363</v>
      </c>
      <c r="B46" s="91" t="s">
        <v>42</v>
      </c>
      <c r="C46" s="131" t="s">
        <v>320</v>
      </c>
    </row>
    <row r="47" spans="1:3" x14ac:dyDescent="0.25">
      <c r="A47" s="14"/>
      <c r="B47" s="145"/>
      <c r="C47" s="144"/>
    </row>
    <row r="48" spans="1:3" ht="18.75" x14ac:dyDescent="0.3">
      <c r="A48" s="4" t="s">
        <v>43</v>
      </c>
    </row>
    <row r="49" spans="1:3" x14ac:dyDescent="0.25">
      <c r="A49" s="151" t="s">
        <v>337</v>
      </c>
    </row>
    <row r="50" spans="1:3" x14ac:dyDescent="0.25">
      <c r="A50" s="60" t="s">
        <v>45</v>
      </c>
      <c r="B50" s="91">
        <v>600</v>
      </c>
    </row>
    <row r="51" spans="1:3" x14ac:dyDescent="0.25">
      <c r="A51" s="60" t="s">
        <v>305</v>
      </c>
      <c r="B51" s="91">
        <v>50</v>
      </c>
    </row>
    <row r="52" spans="1:3" x14ac:dyDescent="0.25">
      <c r="A52" s="17"/>
      <c r="B52" s="17"/>
    </row>
    <row r="53" spans="1:3" x14ac:dyDescent="0.25">
      <c r="A53" s="55" t="s">
        <v>301</v>
      </c>
      <c r="B53" s="63" t="s">
        <v>42</v>
      </c>
      <c r="C53" s="131" t="s">
        <v>320</v>
      </c>
    </row>
    <row r="54" spans="1:3" ht="30" x14ac:dyDescent="0.25">
      <c r="A54" s="55" t="s">
        <v>302</v>
      </c>
      <c r="B54" s="63" t="s">
        <v>42</v>
      </c>
      <c r="C54" s="131" t="s">
        <v>320</v>
      </c>
    </row>
    <row r="55" spans="1:3" ht="30" x14ac:dyDescent="0.25">
      <c r="A55" s="55" t="s">
        <v>303</v>
      </c>
      <c r="B55" s="63" t="s">
        <v>42</v>
      </c>
      <c r="C55" s="131" t="s">
        <v>320</v>
      </c>
    </row>
    <row r="56" spans="1:3" x14ac:dyDescent="0.25">
      <c r="A56" s="55" t="s">
        <v>304</v>
      </c>
      <c r="B56" s="63" t="s">
        <v>42</v>
      </c>
      <c r="C56" s="131" t="s">
        <v>320</v>
      </c>
    </row>
    <row r="58" spans="1:3" ht="18.75" x14ac:dyDescent="0.3">
      <c r="A58" s="4" t="s">
        <v>396</v>
      </c>
    </row>
    <row r="59" spans="1:3" x14ac:dyDescent="0.25">
      <c r="A59" s="151" t="s">
        <v>338</v>
      </c>
    </row>
    <row r="60" spans="1:3" x14ac:dyDescent="0.25">
      <c r="A60" s="60" t="s">
        <v>422</v>
      </c>
      <c r="B60" s="91">
        <v>50</v>
      </c>
    </row>
    <row r="61" spans="1:3" x14ac:dyDescent="0.25">
      <c r="A61" s="60" t="s">
        <v>423</v>
      </c>
      <c r="B61" s="149">
        <f>Results!B43*'Input data'!B34/100</f>
        <v>249528.38400000002</v>
      </c>
      <c r="C61" s="168"/>
    </row>
    <row r="62" spans="1:3" x14ac:dyDescent="0.25">
      <c r="A62" s="60" t="s">
        <v>419</v>
      </c>
      <c r="B62" s="91">
        <v>800</v>
      </c>
    </row>
    <row r="63" spans="1:3" x14ac:dyDescent="0.25">
      <c r="A63" s="17"/>
      <c r="B63" s="17"/>
    </row>
    <row r="64" spans="1:3" x14ac:dyDescent="0.25">
      <c r="A64" s="55" t="s">
        <v>364</v>
      </c>
      <c r="B64" s="63" t="s">
        <v>42</v>
      </c>
      <c r="C64" s="131" t="s">
        <v>320</v>
      </c>
    </row>
    <row r="65" spans="1:15" x14ac:dyDescent="0.25">
      <c r="A65" s="55" t="s">
        <v>365</v>
      </c>
      <c r="B65" s="63" t="s">
        <v>42</v>
      </c>
      <c r="C65" s="131" t="s">
        <v>320</v>
      </c>
    </row>
    <row r="66" spans="1:15" x14ac:dyDescent="0.25">
      <c r="A66" s="55" t="s">
        <v>366</v>
      </c>
      <c r="B66" s="63" t="s">
        <v>42</v>
      </c>
      <c r="C66" s="131" t="s">
        <v>320</v>
      </c>
    </row>
    <row r="68" spans="1:15" ht="18.75" x14ac:dyDescent="0.3">
      <c r="A68" s="4" t="s">
        <v>46</v>
      </c>
    </row>
    <row r="70" spans="1:15" x14ac:dyDescent="0.25">
      <c r="A70" s="64" t="s">
        <v>397</v>
      </c>
      <c r="B70" s="63">
        <v>5</v>
      </c>
    </row>
    <row r="71" spans="1:15" x14ac:dyDescent="0.25">
      <c r="A71" s="64" t="s">
        <v>398</v>
      </c>
      <c r="B71" s="91">
        <v>100000</v>
      </c>
    </row>
    <row r="72" spans="1:15" x14ac:dyDescent="0.25">
      <c r="A72" s="64" t="s">
        <v>399</v>
      </c>
      <c r="B72" s="91">
        <v>50000</v>
      </c>
    </row>
    <row r="73" spans="1:15" x14ac:dyDescent="0.25">
      <c r="A73" s="64" t="s">
        <v>400</v>
      </c>
      <c r="B73" s="91">
        <v>10000</v>
      </c>
    </row>
    <row r="74" spans="1:15" x14ac:dyDescent="0.25">
      <c r="A74" s="64" t="s">
        <v>401</v>
      </c>
      <c r="B74" s="91">
        <v>20000</v>
      </c>
    </row>
    <row r="75" spans="1:15" x14ac:dyDescent="0.25">
      <c r="A75" s="64" t="s">
        <v>402</v>
      </c>
      <c r="B75" s="91">
        <v>50000</v>
      </c>
    </row>
    <row r="77" spans="1:15" ht="18.75" x14ac:dyDescent="0.3">
      <c r="A77" s="119" t="s">
        <v>92</v>
      </c>
      <c r="B77" s="13"/>
      <c r="C77" s="13"/>
      <c r="D77" s="13"/>
      <c r="E77" s="13"/>
      <c r="F77" s="16"/>
      <c r="G77" s="14"/>
      <c r="H77" s="14"/>
      <c r="I77" s="14"/>
      <c r="J77" s="14"/>
      <c r="K77" s="14"/>
      <c r="L77" s="14"/>
      <c r="M77" s="14"/>
      <c r="N77" s="14"/>
      <c r="O77" s="14"/>
    </row>
    <row r="78" spans="1:15" x14ac:dyDescent="0.25">
      <c r="A78" s="120"/>
      <c r="B78" s="14"/>
      <c r="C78" s="14"/>
      <c r="D78" s="14"/>
      <c r="E78" s="14"/>
      <c r="F78" s="121"/>
      <c r="G78" s="14"/>
      <c r="H78" s="14"/>
      <c r="I78" s="14"/>
      <c r="J78" s="14"/>
      <c r="K78" s="14"/>
      <c r="L78" s="14"/>
      <c r="M78" s="14"/>
      <c r="N78" s="14"/>
      <c r="O78" s="14"/>
    </row>
    <row r="79" spans="1:15" ht="17.25" x14ac:dyDescent="0.25">
      <c r="A79" s="186" t="s">
        <v>390</v>
      </c>
      <c r="C79" s="14"/>
      <c r="D79" s="14"/>
      <c r="E79" s="14"/>
      <c r="F79" s="121"/>
      <c r="G79" s="14"/>
      <c r="H79" s="14"/>
      <c r="I79" s="14"/>
      <c r="J79" s="14"/>
      <c r="K79" s="14"/>
      <c r="L79" s="14"/>
      <c r="M79" s="14"/>
      <c r="N79" s="14"/>
      <c r="O79" s="14"/>
    </row>
    <row r="80" spans="1:15" ht="17.25" x14ac:dyDescent="0.25">
      <c r="A80" s="187" t="s">
        <v>391</v>
      </c>
      <c r="B80" s="15"/>
      <c r="C80" s="15"/>
      <c r="D80" s="15"/>
      <c r="E80" s="15"/>
      <c r="F80" s="122"/>
      <c r="G80" s="14"/>
      <c r="H80" s="14"/>
      <c r="I80" s="14"/>
      <c r="J80" s="14"/>
      <c r="K80" s="14"/>
      <c r="L80" s="14"/>
      <c r="M80" s="14"/>
      <c r="N80" s="14"/>
      <c r="O80" s="14"/>
    </row>
  </sheetData>
  <sheetProtection algorithmName="SHA-512" hashValue="uQ6QV1fo1kV5ZFc/LWPTENuWzrivv7/ZhmfSLCa/fa+G2IZ06pSYAGoWGV3bzHH3X3/gKJJzMoBIXAgq0NQCgA==" saltValue="6w/Q+S5dQqn1+asLRmYt8w==" spinCount="100000" sheet="1" objects="1" scenarios="1"/>
  <protectedRanges>
    <protectedRange sqref="B10:B12 B17 B18 B19 B22 B27:B28 B32:B34 B39:B43 B45:B46 B50:B51 B53:B56 B60 B62 B64:B66 B70:B75" name="Bereich1"/>
  </protectedRanges>
  <mergeCells count="1">
    <mergeCell ref="B22:B25"/>
  </mergeCells>
  <pageMargins left="0.7" right="0.7" top="0.78740157499999996" bottom="0.78740157499999996"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2:P146"/>
  <sheetViews>
    <sheetView showGridLines="0" zoomScaleNormal="100" workbookViewId="0"/>
  </sheetViews>
  <sheetFormatPr defaultColWidth="11.42578125" defaultRowHeight="15" x14ac:dyDescent="0.25"/>
  <cols>
    <col min="1" max="1" width="5.5703125" customWidth="1"/>
    <col min="2" max="2" width="41.28515625" customWidth="1"/>
    <col min="3" max="15" width="13.140625" customWidth="1"/>
  </cols>
  <sheetData>
    <row r="2" spans="1:11" ht="21" x14ac:dyDescent="0.35">
      <c r="A2" s="9" t="s">
        <v>307</v>
      </c>
    </row>
    <row r="4" spans="1:11" x14ac:dyDescent="0.25">
      <c r="A4" t="s">
        <v>317</v>
      </c>
    </row>
    <row r="5" spans="1:11" x14ac:dyDescent="0.25">
      <c r="A5" t="s">
        <v>318</v>
      </c>
    </row>
    <row r="7" spans="1:11" x14ac:dyDescent="0.25">
      <c r="A7" t="s">
        <v>319</v>
      </c>
    </row>
    <row r="9" spans="1:11" ht="18.75" x14ac:dyDescent="0.3">
      <c r="A9" s="4" t="s">
        <v>30</v>
      </c>
    </row>
    <row r="10" spans="1:11" x14ac:dyDescent="0.25">
      <c r="A10" s="6"/>
    </row>
    <row r="11" spans="1:11" x14ac:dyDescent="0.25">
      <c r="A11" s="38" t="s">
        <v>414</v>
      </c>
    </row>
    <row r="12" spans="1:11" x14ac:dyDescent="0.25">
      <c r="A12" s="60"/>
      <c r="B12" s="60" t="s">
        <v>56</v>
      </c>
      <c r="C12" s="95" t="s">
        <v>47</v>
      </c>
      <c r="D12" s="95" t="s">
        <v>48</v>
      </c>
      <c r="E12" s="95" t="s">
        <v>49</v>
      </c>
      <c r="F12" s="95" t="s">
        <v>50</v>
      </c>
      <c r="G12" s="95" t="s">
        <v>51</v>
      </c>
      <c r="H12" s="95" t="s">
        <v>52</v>
      </c>
      <c r="I12" s="95" t="s">
        <v>53</v>
      </c>
      <c r="J12" s="95" t="s">
        <v>54</v>
      </c>
      <c r="K12" s="95" t="s">
        <v>55</v>
      </c>
    </row>
    <row r="13" spans="1:11" ht="18" x14ac:dyDescent="0.35">
      <c r="A13" s="60"/>
      <c r="B13" s="60" t="s">
        <v>57</v>
      </c>
      <c r="C13" s="96">
        <v>75</v>
      </c>
      <c r="D13" s="96">
        <v>150</v>
      </c>
      <c r="E13" s="96">
        <v>250</v>
      </c>
      <c r="F13" s="96">
        <v>250</v>
      </c>
      <c r="G13" s="96">
        <v>500</v>
      </c>
      <c r="H13" s="96">
        <v>750</v>
      </c>
      <c r="I13" s="96">
        <v>1000</v>
      </c>
      <c r="J13" s="96">
        <v>1000</v>
      </c>
      <c r="K13" s="97" t="s">
        <v>1</v>
      </c>
    </row>
    <row r="14" spans="1:11" x14ac:dyDescent="0.25">
      <c r="A14" s="98" t="s">
        <v>339</v>
      </c>
      <c r="B14" s="60"/>
      <c r="C14" s="96"/>
      <c r="D14" s="96"/>
      <c r="E14" s="96"/>
      <c r="F14" s="96"/>
      <c r="G14" s="96"/>
      <c r="H14" s="96"/>
      <c r="I14" s="96"/>
      <c r="J14" s="96"/>
      <c r="K14" s="97"/>
    </row>
    <row r="15" spans="1:11" ht="17.25" x14ac:dyDescent="0.25">
      <c r="A15" s="60"/>
      <c r="B15" s="60" t="s">
        <v>58</v>
      </c>
      <c r="C15" s="107">
        <v>564196</v>
      </c>
      <c r="D15" s="107">
        <v>710263</v>
      </c>
      <c r="E15" s="107">
        <v>1103856</v>
      </c>
      <c r="F15" s="107">
        <v>1199270</v>
      </c>
      <c r="G15" s="107">
        <v>1779940</v>
      </c>
      <c r="H15" s="107">
        <v>2344745</v>
      </c>
      <c r="I15" s="107">
        <v>2675305</v>
      </c>
      <c r="J15" s="107">
        <v>2753352</v>
      </c>
      <c r="K15" s="97" t="s">
        <v>1</v>
      </c>
    </row>
    <row r="16" spans="1:11" ht="18" x14ac:dyDescent="0.35">
      <c r="A16" s="60"/>
      <c r="B16" s="60" t="s">
        <v>59</v>
      </c>
      <c r="C16" s="127">
        <f>C15/C13</f>
        <v>7522.6133333333337</v>
      </c>
      <c r="D16" s="127">
        <f t="shared" ref="D16:J16" si="0">D15/D13</f>
        <v>4735.086666666667</v>
      </c>
      <c r="E16" s="127">
        <f t="shared" si="0"/>
        <v>4415.424</v>
      </c>
      <c r="F16" s="127">
        <f t="shared" si="0"/>
        <v>4797.08</v>
      </c>
      <c r="G16" s="127">
        <f t="shared" si="0"/>
        <v>3559.88</v>
      </c>
      <c r="H16" s="127">
        <f t="shared" si="0"/>
        <v>3126.3266666666668</v>
      </c>
      <c r="I16" s="127">
        <f t="shared" si="0"/>
        <v>2675.3049999999998</v>
      </c>
      <c r="J16" s="127">
        <f t="shared" si="0"/>
        <v>2753.3519999999999</v>
      </c>
      <c r="K16" s="97"/>
    </row>
    <row r="17" spans="1:14" x14ac:dyDescent="0.25">
      <c r="A17" s="98" t="s">
        <v>109</v>
      </c>
      <c r="B17" s="60"/>
      <c r="C17" s="96"/>
      <c r="D17" s="96"/>
      <c r="E17" s="96"/>
      <c r="F17" s="96"/>
      <c r="G17" s="96"/>
      <c r="H17" s="96"/>
      <c r="I17" s="96"/>
      <c r="J17" s="96"/>
      <c r="K17" s="97"/>
    </row>
    <row r="18" spans="1:14" ht="17.25" x14ac:dyDescent="0.25">
      <c r="A18" s="60"/>
      <c r="B18" s="60" t="s">
        <v>108</v>
      </c>
      <c r="C18" s="107">
        <v>61701</v>
      </c>
      <c r="D18" s="107">
        <v>88880</v>
      </c>
      <c r="E18" s="107">
        <v>92612</v>
      </c>
      <c r="F18" s="107">
        <v>94628</v>
      </c>
      <c r="G18" s="107">
        <v>148133</v>
      </c>
      <c r="H18" s="107">
        <v>210900</v>
      </c>
      <c r="I18" s="107">
        <v>268806</v>
      </c>
      <c r="J18" s="107">
        <v>287175</v>
      </c>
      <c r="K18" s="97" t="s">
        <v>1</v>
      </c>
    </row>
    <row r="19" spans="1:14" ht="18" x14ac:dyDescent="0.35">
      <c r="A19" s="60"/>
      <c r="B19" s="60" t="s">
        <v>110</v>
      </c>
      <c r="C19" s="127">
        <f>C18/C13</f>
        <v>822.68</v>
      </c>
      <c r="D19" s="127">
        <f t="shared" ref="D19:J19" si="1">D18/D13</f>
        <v>592.5333333333333</v>
      </c>
      <c r="E19" s="127">
        <f t="shared" si="1"/>
        <v>370.44799999999998</v>
      </c>
      <c r="F19" s="127">
        <f t="shared" si="1"/>
        <v>378.512</v>
      </c>
      <c r="G19" s="127">
        <f t="shared" si="1"/>
        <v>296.26600000000002</v>
      </c>
      <c r="H19" s="127">
        <f t="shared" si="1"/>
        <v>281.2</v>
      </c>
      <c r="I19" s="127">
        <f t="shared" si="1"/>
        <v>268.80599999999998</v>
      </c>
      <c r="J19" s="127">
        <f t="shared" si="1"/>
        <v>287.17500000000001</v>
      </c>
      <c r="K19" s="97"/>
    </row>
    <row r="20" spans="1:14" x14ac:dyDescent="0.25">
      <c r="A20" s="98" t="s">
        <v>60</v>
      </c>
      <c r="B20" s="60"/>
      <c r="C20" s="96"/>
      <c r="D20" s="96"/>
      <c r="E20" s="96"/>
      <c r="F20" s="96"/>
      <c r="G20" s="96"/>
      <c r="H20" s="96"/>
      <c r="I20" s="96"/>
      <c r="J20" s="96"/>
      <c r="K20" s="97"/>
    </row>
    <row r="21" spans="1:14" x14ac:dyDescent="0.25">
      <c r="A21" s="60"/>
      <c r="B21" s="60" t="s">
        <v>61</v>
      </c>
      <c r="C21" s="107">
        <v>3471</v>
      </c>
      <c r="D21" s="107">
        <v>4885</v>
      </c>
      <c r="E21" s="107">
        <v>7081</v>
      </c>
      <c r="F21" s="107">
        <v>7572</v>
      </c>
      <c r="G21" s="107">
        <v>11479</v>
      </c>
      <c r="H21" s="107">
        <v>15143</v>
      </c>
      <c r="I21" s="107">
        <v>17571</v>
      </c>
      <c r="J21" s="107">
        <v>19570</v>
      </c>
      <c r="K21" s="97" t="s">
        <v>1</v>
      </c>
    </row>
    <row r="22" spans="1:14" x14ac:dyDescent="0.25">
      <c r="A22" s="60"/>
      <c r="B22" s="60" t="s">
        <v>62</v>
      </c>
      <c r="C22" s="107">
        <v>9570</v>
      </c>
      <c r="D22" s="107">
        <v>12146</v>
      </c>
      <c r="E22" s="107">
        <v>14331</v>
      </c>
      <c r="F22" s="107">
        <v>14335</v>
      </c>
      <c r="G22" s="107">
        <v>18116</v>
      </c>
      <c r="H22" s="107">
        <v>20852</v>
      </c>
      <c r="I22" s="107">
        <v>22962</v>
      </c>
      <c r="J22" s="107">
        <v>22962</v>
      </c>
      <c r="K22" s="97" t="s">
        <v>1</v>
      </c>
    </row>
    <row r="23" spans="1:14" x14ac:dyDescent="0.25">
      <c r="A23" s="14"/>
      <c r="B23" s="14"/>
      <c r="C23" s="153"/>
      <c r="D23" s="153"/>
      <c r="E23" s="153"/>
      <c r="F23" s="153"/>
      <c r="G23" s="153"/>
      <c r="H23" s="153"/>
      <c r="I23" s="153"/>
      <c r="J23" s="153"/>
      <c r="K23" s="152"/>
    </row>
    <row r="24" spans="1:14" x14ac:dyDescent="0.25">
      <c r="A24" s="154" t="s">
        <v>342</v>
      </c>
      <c r="B24" s="14"/>
      <c r="C24" s="153"/>
      <c r="D24" s="153"/>
      <c r="E24" s="153"/>
      <c r="F24" s="153"/>
      <c r="G24" s="153"/>
      <c r="H24" s="153"/>
      <c r="I24" s="153"/>
      <c r="J24" s="153"/>
      <c r="K24" s="152"/>
    </row>
    <row r="25" spans="1:14" x14ac:dyDescent="0.25">
      <c r="A25" s="102"/>
      <c r="B25" s="100" t="s">
        <v>372</v>
      </c>
      <c r="C25" s="156"/>
      <c r="D25" s="178" t="s">
        <v>55</v>
      </c>
      <c r="E25" s="153"/>
      <c r="F25" s="212" t="s">
        <v>433</v>
      </c>
      <c r="G25" s="213"/>
      <c r="H25" s="213"/>
      <c r="I25" s="213"/>
      <c r="J25" s="213"/>
      <c r="K25" s="213"/>
      <c r="L25" s="213"/>
      <c r="M25" s="213"/>
      <c r="N25" s="214"/>
    </row>
    <row r="26" spans="1:14" ht="14.45" customHeight="1" x14ac:dyDescent="0.25">
      <c r="A26" s="60"/>
      <c r="B26" s="60" t="s">
        <v>343</v>
      </c>
      <c r="C26" s="159">
        <v>0</v>
      </c>
      <c r="D26" s="156" t="s">
        <v>341</v>
      </c>
      <c r="E26" s="153"/>
      <c r="F26" s="203" t="s">
        <v>434</v>
      </c>
      <c r="G26" s="204"/>
      <c r="H26" s="204"/>
      <c r="I26" s="204"/>
      <c r="J26" s="204"/>
      <c r="K26" s="204"/>
      <c r="L26" s="204"/>
      <c r="M26" s="204"/>
      <c r="N26" s="205"/>
    </row>
    <row r="27" spans="1:14" s="155" customFormat="1" ht="30" x14ac:dyDescent="0.25">
      <c r="A27" s="157"/>
      <c r="B27" s="158" t="s">
        <v>418</v>
      </c>
      <c r="C27" s="160">
        <v>40</v>
      </c>
      <c r="D27" s="148" t="s">
        <v>341</v>
      </c>
      <c r="E27" s="146"/>
      <c r="F27" s="206"/>
      <c r="G27" s="207"/>
      <c r="H27" s="207"/>
      <c r="I27" s="207"/>
      <c r="J27" s="207"/>
      <c r="K27" s="207"/>
      <c r="L27" s="207"/>
      <c r="M27" s="207"/>
      <c r="N27" s="208"/>
    </row>
    <row r="28" spans="1:14" x14ac:dyDescent="0.25">
      <c r="A28" s="60"/>
      <c r="B28" s="147" t="s">
        <v>344</v>
      </c>
      <c r="C28" s="159">
        <v>10</v>
      </c>
      <c r="D28" s="156" t="s">
        <v>341</v>
      </c>
      <c r="E28" s="153"/>
      <c r="F28" s="206"/>
      <c r="G28" s="207"/>
      <c r="H28" s="207"/>
      <c r="I28" s="207"/>
      <c r="J28" s="207"/>
      <c r="K28" s="207"/>
      <c r="L28" s="207"/>
      <c r="M28" s="207"/>
      <c r="N28" s="208"/>
    </row>
    <row r="29" spans="1:14" s="155" customFormat="1" ht="30" x14ac:dyDescent="0.25">
      <c r="A29" s="157"/>
      <c r="B29" s="158" t="s">
        <v>345</v>
      </c>
      <c r="C29" s="160">
        <v>250</v>
      </c>
      <c r="D29" s="148" t="s">
        <v>341</v>
      </c>
      <c r="E29" s="146"/>
      <c r="F29" s="209"/>
      <c r="G29" s="210"/>
      <c r="H29" s="210"/>
      <c r="I29" s="210"/>
      <c r="J29" s="210"/>
      <c r="K29" s="210"/>
      <c r="L29" s="210"/>
      <c r="M29" s="210"/>
      <c r="N29" s="211"/>
    </row>
    <row r="30" spans="1:14" x14ac:dyDescent="0.25">
      <c r="A30" s="13"/>
      <c r="B30" s="13"/>
      <c r="C30" s="75"/>
      <c r="D30" s="161"/>
    </row>
    <row r="31" spans="1:14" ht="18.75" x14ac:dyDescent="0.3">
      <c r="A31" s="4" t="s">
        <v>44</v>
      </c>
      <c r="D31" s="14"/>
    </row>
    <row r="32" spans="1:14" x14ac:dyDescent="0.25">
      <c r="K32" s="5"/>
    </row>
    <row r="33" spans="1:16" x14ac:dyDescent="0.25">
      <c r="A33" s="221"/>
      <c r="B33" s="220" t="s">
        <v>63</v>
      </c>
      <c r="C33" s="95">
        <v>100</v>
      </c>
      <c r="D33" s="95">
        <v>150</v>
      </c>
      <c r="E33" s="95">
        <v>200</v>
      </c>
      <c r="F33" s="95">
        <v>250</v>
      </c>
      <c r="G33" s="95">
        <v>300</v>
      </c>
      <c r="H33" s="95">
        <v>350</v>
      </c>
      <c r="I33" s="95">
        <v>400</v>
      </c>
      <c r="J33" s="95">
        <v>500</v>
      </c>
      <c r="K33" s="95">
        <v>600</v>
      </c>
      <c r="L33" s="95">
        <v>700</v>
      </c>
      <c r="M33" s="95">
        <v>800</v>
      </c>
      <c r="N33" s="95">
        <v>900</v>
      </c>
      <c r="O33" s="95">
        <v>1000</v>
      </c>
      <c r="P33" s="95" t="s">
        <v>55</v>
      </c>
    </row>
    <row r="34" spans="1:16" ht="30" x14ac:dyDescent="0.25">
      <c r="A34" s="222"/>
      <c r="B34" s="220"/>
      <c r="C34" s="99" t="s">
        <v>424</v>
      </c>
      <c r="D34" s="99" t="s">
        <v>424</v>
      </c>
      <c r="E34" s="99" t="s">
        <v>424</v>
      </c>
      <c r="F34" s="99" t="s">
        <v>424</v>
      </c>
      <c r="G34" s="99" t="s">
        <v>424</v>
      </c>
      <c r="H34" s="99" t="s">
        <v>424</v>
      </c>
      <c r="I34" s="99" t="s">
        <v>424</v>
      </c>
      <c r="J34" s="99" t="s">
        <v>424</v>
      </c>
      <c r="K34" s="99" t="s">
        <v>424</v>
      </c>
      <c r="L34" s="99" t="s">
        <v>424</v>
      </c>
      <c r="M34" s="99" t="s">
        <v>424</v>
      </c>
      <c r="N34" s="99" t="s">
        <v>424</v>
      </c>
      <c r="O34" s="99" t="s">
        <v>424</v>
      </c>
      <c r="P34" s="60"/>
    </row>
    <row r="35" spans="1:16" x14ac:dyDescent="0.25">
      <c r="A35" s="98" t="s">
        <v>37</v>
      </c>
      <c r="B35" s="60"/>
      <c r="C35" s="60"/>
      <c r="D35" s="60"/>
      <c r="E35" s="60"/>
      <c r="F35" s="60"/>
      <c r="G35" s="60"/>
      <c r="H35" s="60"/>
      <c r="I35" s="60"/>
      <c r="J35" s="60"/>
      <c r="K35" s="49"/>
      <c r="L35" s="60"/>
      <c r="M35" s="60"/>
      <c r="N35" s="60"/>
      <c r="O35" s="60"/>
      <c r="P35" s="60"/>
    </row>
    <row r="36" spans="1:16" x14ac:dyDescent="0.25">
      <c r="A36" s="100"/>
      <c r="B36" s="60" t="s">
        <v>64</v>
      </c>
      <c r="C36" s="107">
        <v>933397</v>
      </c>
      <c r="D36" s="107">
        <v>982691</v>
      </c>
      <c r="E36" s="107">
        <v>1031984</v>
      </c>
      <c r="F36" s="107">
        <v>1081278</v>
      </c>
      <c r="G36" s="107">
        <v>1130572</v>
      </c>
      <c r="H36" s="107">
        <v>1179865</v>
      </c>
      <c r="I36" s="107">
        <v>1229159</v>
      </c>
      <c r="J36" s="107">
        <v>1327747</v>
      </c>
      <c r="K36" s="108">
        <v>1426334</v>
      </c>
      <c r="L36" s="107">
        <v>1524921</v>
      </c>
      <c r="M36" s="107">
        <v>1623509</v>
      </c>
      <c r="N36" s="107">
        <v>1722096</v>
      </c>
      <c r="O36" s="107">
        <v>1820684</v>
      </c>
      <c r="P36" s="97" t="s">
        <v>3</v>
      </c>
    </row>
    <row r="37" spans="1:16" x14ac:dyDescent="0.25">
      <c r="A37" s="60"/>
      <c r="B37" s="60" t="s">
        <v>425</v>
      </c>
      <c r="C37" s="128">
        <f>C36/C33</f>
        <v>9333.9699999999993</v>
      </c>
      <c r="D37" s="128">
        <f t="shared" ref="D37:O37" si="2">D36/D33</f>
        <v>6551.2733333333335</v>
      </c>
      <c r="E37" s="128">
        <f t="shared" si="2"/>
        <v>5159.92</v>
      </c>
      <c r="F37" s="128">
        <f t="shared" si="2"/>
        <v>4325.1120000000001</v>
      </c>
      <c r="G37" s="128">
        <f t="shared" si="2"/>
        <v>3768.5733333333333</v>
      </c>
      <c r="H37" s="128">
        <f t="shared" si="2"/>
        <v>3371.042857142857</v>
      </c>
      <c r="I37" s="128">
        <f t="shared" si="2"/>
        <v>3072.8975</v>
      </c>
      <c r="J37" s="128">
        <f t="shared" si="2"/>
        <v>2655.4940000000001</v>
      </c>
      <c r="K37" s="128">
        <f t="shared" si="2"/>
        <v>2377.2233333333334</v>
      </c>
      <c r="L37" s="128">
        <f t="shared" si="2"/>
        <v>2178.4585714285713</v>
      </c>
      <c r="M37" s="128">
        <f t="shared" si="2"/>
        <v>2029.38625</v>
      </c>
      <c r="N37" s="128">
        <f t="shared" si="2"/>
        <v>1913.44</v>
      </c>
      <c r="O37" s="128">
        <f t="shared" si="2"/>
        <v>1820.684</v>
      </c>
      <c r="P37" s="60"/>
    </row>
    <row r="38" spans="1:16" x14ac:dyDescent="0.25">
      <c r="A38" s="60"/>
      <c r="B38" s="60" t="s">
        <v>111</v>
      </c>
      <c r="C38" s="107">
        <v>70924</v>
      </c>
      <c r="D38" s="107">
        <v>87792</v>
      </c>
      <c r="E38" s="107">
        <v>104661</v>
      </c>
      <c r="F38" s="107">
        <v>121529</v>
      </c>
      <c r="G38" s="107">
        <v>138397</v>
      </c>
      <c r="H38" s="107">
        <v>155266</v>
      </c>
      <c r="I38" s="107">
        <v>172134</v>
      </c>
      <c r="J38" s="107">
        <v>205870</v>
      </c>
      <c r="K38" s="108">
        <v>239607</v>
      </c>
      <c r="L38" s="107">
        <v>273344</v>
      </c>
      <c r="M38" s="107">
        <v>307080</v>
      </c>
      <c r="N38" s="107">
        <v>340817</v>
      </c>
      <c r="O38" s="107">
        <v>374554</v>
      </c>
      <c r="P38" s="97" t="s">
        <v>3</v>
      </c>
    </row>
    <row r="39" spans="1:16" x14ac:dyDescent="0.25">
      <c r="A39" s="60"/>
      <c r="B39" s="60" t="s">
        <v>426</v>
      </c>
      <c r="C39" s="128">
        <f>C38/C33</f>
        <v>709.24</v>
      </c>
      <c r="D39" s="128">
        <f t="shared" ref="D39:O39" si="3">D38/D33</f>
        <v>585.28</v>
      </c>
      <c r="E39" s="128">
        <f t="shared" si="3"/>
        <v>523.30499999999995</v>
      </c>
      <c r="F39" s="128">
        <f t="shared" si="3"/>
        <v>486.11599999999999</v>
      </c>
      <c r="G39" s="128">
        <f t="shared" si="3"/>
        <v>461.32333333333332</v>
      </c>
      <c r="H39" s="128">
        <f t="shared" si="3"/>
        <v>443.61714285714288</v>
      </c>
      <c r="I39" s="128">
        <f t="shared" si="3"/>
        <v>430.33499999999998</v>
      </c>
      <c r="J39" s="128">
        <f t="shared" si="3"/>
        <v>411.74</v>
      </c>
      <c r="K39" s="128">
        <f t="shared" si="3"/>
        <v>399.34500000000003</v>
      </c>
      <c r="L39" s="128">
        <f t="shared" si="3"/>
        <v>390.49142857142857</v>
      </c>
      <c r="M39" s="128">
        <f t="shared" si="3"/>
        <v>383.85</v>
      </c>
      <c r="N39" s="128">
        <f t="shared" si="3"/>
        <v>378.68555555555554</v>
      </c>
      <c r="O39" s="128">
        <f t="shared" si="3"/>
        <v>374.55399999999997</v>
      </c>
      <c r="P39" s="60"/>
    </row>
    <row r="40" spans="1:16" x14ac:dyDescent="0.25">
      <c r="A40" s="98" t="s">
        <v>38</v>
      </c>
      <c r="B40" s="60"/>
      <c r="C40" s="96"/>
      <c r="D40" s="96"/>
      <c r="E40" s="96"/>
      <c r="F40" s="96"/>
      <c r="G40" s="96"/>
      <c r="H40" s="96"/>
      <c r="I40" s="96"/>
      <c r="J40" s="79"/>
      <c r="K40" s="101"/>
      <c r="L40" s="79"/>
      <c r="M40" s="79"/>
      <c r="N40" s="79"/>
      <c r="O40" s="79"/>
      <c r="P40" s="60"/>
    </row>
    <row r="41" spans="1:16" x14ac:dyDescent="0.25">
      <c r="A41" s="100"/>
      <c r="B41" s="60" t="s">
        <v>64</v>
      </c>
      <c r="C41" s="107">
        <v>777015</v>
      </c>
      <c r="D41" s="107">
        <v>891116</v>
      </c>
      <c r="E41" s="107">
        <v>982095</v>
      </c>
      <c r="F41" s="107">
        <v>1059013</v>
      </c>
      <c r="G41" s="107">
        <v>1126311</v>
      </c>
      <c r="H41" s="107">
        <v>1186536</v>
      </c>
      <c r="I41" s="107">
        <v>1241302</v>
      </c>
      <c r="J41" s="107">
        <v>1338522</v>
      </c>
      <c r="K41" s="108">
        <v>1423581</v>
      </c>
      <c r="L41" s="107">
        <v>1499702</v>
      </c>
      <c r="M41" s="107">
        <v>1568923</v>
      </c>
      <c r="N41" s="107">
        <v>1632627</v>
      </c>
      <c r="O41" s="107">
        <v>1691802</v>
      </c>
      <c r="P41" s="97" t="s">
        <v>3</v>
      </c>
    </row>
    <row r="42" spans="1:16" x14ac:dyDescent="0.25">
      <c r="A42" s="60"/>
      <c r="B42" s="60" t="s">
        <v>425</v>
      </c>
      <c r="C42" s="128">
        <f>C41/C33</f>
        <v>7770.15</v>
      </c>
      <c r="D42" s="128">
        <f t="shared" ref="D42:O42" si="4">D41/D33</f>
        <v>5940.7733333333335</v>
      </c>
      <c r="E42" s="128">
        <f t="shared" si="4"/>
        <v>4910.4750000000004</v>
      </c>
      <c r="F42" s="128">
        <f t="shared" si="4"/>
        <v>4236.0519999999997</v>
      </c>
      <c r="G42" s="128">
        <f t="shared" si="4"/>
        <v>3754.37</v>
      </c>
      <c r="H42" s="128">
        <f t="shared" si="4"/>
        <v>3390.1028571428569</v>
      </c>
      <c r="I42" s="128">
        <f t="shared" si="4"/>
        <v>3103.2550000000001</v>
      </c>
      <c r="J42" s="128">
        <f t="shared" si="4"/>
        <v>2677.0439999999999</v>
      </c>
      <c r="K42" s="128">
        <f t="shared" si="4"/>
        <v>2372.6350000000002</v>
      </c>
      <c r="L42" s="128">
        <f t="shared" si="4"/>
        <v>2142.4314285714286</v>
      </c>
      <c r="M42" s="128">
        <f t="shared" si="4"/>
        <v>1961.1537499999999</v>
      </c>
      <c r="N42" s="128">
        <f t="shared" si="4"/>
        <v>1814.03</v>
      </c>
      <c r="O42" s="128">
        <f t="shared" si="4"/>
        <v>1691.8019999999999</v>
      </c>
      <c r="P42" s="60"/>
    </row>
    <row r="43" spans="1:16" x14ac:dyDescent="0.25">
      <c r="A43" s="60"/>
      <c r="B43" s="60" t="s">
        <v>111</v>
      </c>
      <c r="C43" s="107">
        <v>82777</v>
      </c>
      <c r="D43" s="107">
        <v>98722</v>
      </c>
      <c r="E43" s="107">
        <v>114668</v>
      </c>
      <c r="F43" s="107">
        <v>130614</v>
      </c>
      <c r="G43" s="107">
        <v>146560</v>
      </c>
      <c r="H43" s="107">
        <v>162505</v>
      </c>
      <c r="I43" s="107">
        <v>178451</v>
      </c>
      <c r="J43" s="107">
        <v>210342</v>
      </c>
      <c r="K43" s="108">
        <v>242234</v>
      </c>
      <c r="L43" s="107">
        <v>274125</v>
      </c>
      <c r="M43" s="107">
        <v>306016</v>
      </c>
      <c r="N43" s="107">
        <v>337908</v>
      </c>
      <c r="O43" s="107">
        <v>369799</v>
      </c>
      <c r="P43" s="97" t="s">
        <v>3</v>
      </c>
    </row>
    <row r="44" spans="1:16" x14ac:dyDescent="0.25">
      <c r="A44" s="60"/>
      <c r="B44" s="60" t="s">
        <v>426</v>
      </c>
      <c r="C44" s="128">
        <f>C43/C33</f>
        <v>827.77</v>
      </c>
      <c r="D44" s="128">
        <f t="shared" ref="D44:O44" si="5">D43/D33</f>
        <v>658.14666666666665</v>
      </c>
      <c r="E44" s="128">
        <f t="shared" si="5"/>
        <v>573.34</v>
      </c>
      <c r="F44" s="128">
        <f t="shared" si="5"/>
        <v>522.45600000000002</v>
      </c>
      <c r="G44" s="128">
        <f t="shared" si="5"/>
        <v>488.53333333333336</v>
      </c>
      <c r="H44" s="128">
        <f t="shared" si="5"/>
        <v>464.3</v>
      </c>
      <c r="I44" s="128">
        <f t="shared" si="5"/>
        <v>446.1275</v>
      </c>
      <c r="J44" s="128">
        <f t="shared" si="5"/>
        <v>420.68400000000003</v>
      </c>
      <c r="K44" s="128">
        <f t="shared" si="5"/>
        <v>403.72333333333336</v>
      </c>
      <c r="L44" s="128">
        <f t="shared" si="5"/>
        <v>391.60714285714283</v>
      </c>
      <c r="M44" s="128">
        <f t="shared" si="5"/>
        <v>382.52</v>
      </c>
      <c r="N44" s="128">
        <f t="shared" si="5"/>
        <v>375.45333333333332</v>
      </c>
      <c r="O44" s="128">
        <f t="shared" si="5"/>
        <v>369.79899999999998</v>
      </c>
      <c r="P44" s="60"/>
    </row>
    <row r="45" spans="1:16" x14ac:dyDescent="0.25">
      <c r="A45" s="98" t="s">
        <v>39</v>
      </c>
      <c r="B45" s="60"/>
      <c r="C45" s="96"/>
      <c r="D45" s="96"/>
      <c r="E45" s="96"/>
      <c r="F45" s="96"/>
      <c r="G45" s="96"/>
      <c r="H45" s="96"/>
      <c r="I45" s="96"/>
      <c r="J45" s="79"/>
      <c r="K45" s="101"/>
      <c r="L45" s="79"/>
      <c r="M45" s="79"/>
      <c r="N45" s="79"/>
      <c r="O45" s="79"/>
      <c r="P45" s="60"/>
    </row>
    <row r="46" spans="1:16" x14ac:dyDescent="0.25">
      <c r="A46" s="100"/>
      <c r="B46" s="60" t="s">
        <v>64</v>
      </c>
      <c r="C46" s="107">
        <v>786611</v>
      </c>
      <c r="D46" s="107">
        <v>845641</v>
      </c>
      <c r="E46" s="107">
        <v>904671</v>
      </c>
      <c r="F46" s="107">
        <v>963701</v>
      </c>
      <c r="G46" s="107">
        <v>1022731</v>
      </c>
      <c r="H46" s="107">
        <v>1081760</v>
      </c>
      <c r="I46" s="107">
        <v>1140790</v>
      </c>
      <c r="J46" s="107">
        <v>1258850</v>
      </c>
      <c r="K46" s="108">
        <v>1376909</v>
      </c>
      <c r="L46" s="107">
        <v>1494969</v>
      </c>
      <c r="M46" s="107">
        <v>1613028</v>
      </c>
      <c r="N46" s="107">
        <v>1731088</v>
      </c>
      <c r="O46" s="107">
        <v>1849148</v>
      </c>
      <c r="P46" s="97" t="s">
        <v>3</v>
      </c>
    </row>
    <row r="47" spans="1:16" x14ac:dyDescent="0.25">
      <c r="A47" s="60"/>
      <c r="B47" s="60" t="s">
        <v>425</v>
      </c>
      <c r="C47" s="128">
        <f>C46/C33</f>
        <v>7866.11</v>
      </c>
      <c r="D47" s="128">
        <f t="shared" ref="D47:H47" si="6">D46/D33</f>
        <v>5637.6066666666666</v>
      </c>
      <c r="E47" s="128">
        <f t="shared" si="6"/>
        <v>4523.3549999999996</v>
      </c>
      <c r="F47" s="128">
        <f t="shared" si="6"/>
        <v>3854.8040000000001</v>
      </c>
      <c r="G47" s="128">
        <f t="shared" si="6"/>
        <v>3409.1033333333335</v>
      </c>
      <c r="H47" s="128">
        <f t="shared" si="6"/>
        <v>3090.7428571428572</v>
      </c>
      <c r="I47" s="128">
        <f>I46/I33</f>
        <v>2851.9749999999999</v>
      </c>
      <c r="J47" s="128">
        <f t="shared" ref="J47:O47" si="7">J46/J33</f>
        <v>2517.6999999999998</v>
      </c>
      <c r="K47" s="128">
        <f t="shared" si="7"/>
        <v>2294.8483333333334</v>
      </c>
      <c r="L47" s="128">
        <f t="shared" si="7"/>
        <v>2135.67</v>
      </c>
      <c r="M47" s="128">
        <f t="shared" si="7"/>
        <v>2016.2850000000001</v>
      </c>
      <c r="N47" s="128">
        <f t="shared" si="7"/>
        <v>1923.431111111111</v>
      </c>
      <c r="O47" s="128">
        <f t="shared" si="7"/>
        <v>1849.1479999999999</v>
      </c>
      <c r="P47" s="60"/>
    </row>
    <row r="48" spans="1:16" x14ac:dyDescent="0.25">
      <c r="A48" s="60"/>
      <c r="B48" s="60" t="s">
        <v>111</v>
      </c>
      <c r="C48" s="107">
        <v>93407</v>
      </c>
      <c r="D48" s="107">
        <v>116453</v>
      </c>
      <c r="E48" s="107">
        <v>139498</v>
      </c>
      <c r="F48" s="107">
        <v>162544</v>
      </c>
      <c r="G48" s="107">
        <v>185589</v>
      </c>
      <c r="H48" s="107">
        <v>208635</v>
      </c>
      <c r="I48" s="107">
        <v>231680</v>
      </c>
      <c r="J48" s="107">
        <v>277771</v>
      </c>
      <c r="K48" s="108">
        <v>323862</v>
      </c>
      <c r="L48" s="107">
        <v>369954</v>
      </c>
      <c r="M48" s="107">
        <v>416045</v>
      </c>
      <c r="N48" s="107">
        <v>462136</v>
      </c>
      <c r="O48" s="107">
        <v>508227</v>
      </c>
      <c r="P48" s="97" t="s">
        <v>3</v>
      </c>
    </row>
    <row r="49" spans="1:16" x14ac:dyDescent="0.25">
      <c r="A49" s="60"/>
      <c r="B49" s="60" t="s">
        <v>426</v>
      </c>
      <c r="C49" s="128">
        <f>C48/C33</f>
        <v>934.07</v>
      </c>
      <c r="D49" s="128">
        <f t="shared" ref="D49:O49" si="8">D48/D33</f>
        <v>776.35333333333335</v>
      </c>
      <c r="E49" s="128">
        <f t="shared" si="8"/>
        <v>697.49</v>
      </c>
      <c r="F49" s="128">
        <f t="shared" si="8"/>
        <v>650.17600000000004</v>
      </c>
      <c r="G49" s="128">
        <f t="shared" si="8"/>
        <v>618.63</v>
      </c>
      <c r="H49" s="128">
        <f t="shared" si="8"/>
        <v>596.1</v>
      </c>
      <c r="I49" s="128">
        <f t="shared" si="8"/>
        <v>579.20000000000005</v>
      </c>
      <c r="J49" s="128">
        <f t="shared" si="8"/>
        <v>555.54200000000003</v>
      </c>
      <c r="K49" s="128">
        <f t="shared" si="8"/>
        <v>539.77</v>
      </c>
      <c r="L49" s="128">
        <f t="shared" si="8"/>
        <v>528.50571428571425</v>
      </c>
      <c r="M49" s="128">
        <f t="shared" si="8"/>
        <v>520.05624999999998</v>
      </c>
      <c r="N49" s="128">
        <f t="shared" si="8"/>
        <v>513.48444444444442</v>
      </c>
      <c r="O49" s="128">
        <f t="shared" si="8"/>
        <v>508.22699999999998</v>
      </c>
      <c r="P49" s="60"/>
    </row>
    <row r="50" spans="1:16" x14ac:dyDescent="0.25">
      <c r="A50" s="98" t="s">
        <v>40</v>
      </c>
      <c r="B50" s="60"/>
      <c r="C50" s="96"/>
      <c r="D50" s="96"/>
      <c r="E50" s="96"/>
      <c r="F50" s="96"/>
      <c r="G50" s="96"/>
      <c r="H50" s="96"/>
      <c r="I50" s="96"/>
      <c r="J50" s="79"/>
      <c r="K50" s="79"/>
      <c r="L50" s="79"/>
      <c r="M50" s="79"/>
      <c r="N50" s="79"/>
      <c r="O50" s="79"/>
      <c r="P50" s="60"/>
    </row>
    <row r="51" spans="1:16" x14ac:dyDescent="0.25">
      <c r="A51" s="100"/>
      <c r="B51" s="60" t="s">
        <v>64</v>
      </c>
      <c r="C51" s="107">
        <v>505643</v>
      </c>
      <c r="D51" s="107">
        <v>607813</v>
      </c>
      <c r="E51" s="107">
        <v>697682</v>
      </c>
      <c r="F51" s="107">
        <v>779759</v>
      </c>
      <c r="G51" s="107">
        <v>856337</v>
      </c>
      <c r="H51" s="107">
        <v>928772</v>
      </c>
      <c r="I51" s="107">
        <v>997941</v>
      </c>
      <c r="J51" s="107">
        <v>1128744</v>
      </c>
      <c r="K51" s="107">
        <v>1251925</v>
      </c>
      <c r="L51" s="107">
        <v>1369362</v>
      </c>
      <c r="M51" s="107">
        <v>1482272</v>
      </c>
      <c r="N51" s="107">
        <v>1591496</v>
      </c>
      <c r="O51" s="107">
        <v>1697646</v>
      </c>
      <c r="P51" s="97" t="s">
        <v>3</v>
      </c>
    </row>
    <row r="52" spans="1:16" x14ac:dyDescent="0.25">
      <c r="A52" s="60"/>
      <c r="B52" s="60" t="s">
        <v>425</v>
      </c>
      <c r="C52" s="128">
        <f>C51/C33</f>
        <v>5056.43</v>
      </c>
      <c r="D52" s="128">
        <f t="shared" ref="D52:O52" si="9">D51/D33</f>
        <v>4052.0866666666666</v>
      </c>
      <c r="E52" s="128">
        <f t="shared" si="9"/>
        <v>3488.41</v>
      </c>
      <c r="F52" s="128">
        <f t="shared" si="9"/>
        <v>3119.0360000000001</v>
      </c>
      <c r="G52" s="128">
        <f t="shared" si="9"/>
        <v>2854.4566666666665</v>
      </c>
      <c r="H52" s="128">
        <f t="shared" si="9"/>
        <v>2653.6342857142859</v>
      </c>
      <c r="I52" s="128">
        <f t="shared" si="9"/>
        <v>2494.8525</v>
      </c>
      <c r="J52" s="128">
        <f t="shared" si="9"/>
        <v>2257.4879999999998</v>
      </c>
      <c r="K52" s="128">
        <f t="shared" si="9"/>
        <v>2086.5416666666665</v>
      </c>
      <c r="L52" s="128">
        <f t="shared" si="9"/>
        <v>1956.2314285714285</v>
      </c>
      <c r="M52" s="128">
        <f t="shared" si="9"/>
        <v>1852.84</v>
      </c>
      <c r="N52" s="128">
        <f t="shared" si="9"/>
        <v>1768.328888888889</v>
      </c>
      <c r="O52" s="128">
        <f t="shared" si="9"/>
        <v>1697.646</v>
      </c>
      <c r="P52" s="60"/>
    </row>
    <row r="53" spans="1:16" x14ac:dyDescent="0.25">
      <c r="A53" s="60"/>
      <c r="B53" s="60" t="s">
        <v>111</v>
      </c>
      <c r="C53" s="107">
        <v>68823</v>
      </c>
      <c r="D53" s="107">
        <v>88351</v>
      </c>
      <c r="E53" s="107">
        <v>107488</v>
      </c>
      <c r="F53" s="107">
        <v>126376</v>
      </c>
      <c r="G53" s="107">
        <v>145089</v>
      </c>
      <c r="H53" s="107">
        <v>163670</v>
      </c>
      <c r="I53" s="107">
        <v>182148</v>
      </c>
      <c r="J53" s="107">
        <v>218862</v>
      </c>
      <c r="K53" s="107">
        <v>255335</v>
      </c>
      <c r="L53" s="107">
        <v>291624</v>
      </c>
      <c r="M53" s="107">
        <v>327769</v>
      </c>
      <c r="N53" s="107">
        <v>363797</v>
      </c>
      <c r="O53" s="107">
        <v>399727</v>
      </c>
      <c r="P53" s="97" t="s">
        <v>3</v>
      </c>
    </row>
    <row r="54" spans="1:16" x14ac:dyDescent="0.25">
      <c r="A54" s="60"/>
      <c r="B54" s="60" t="s">
        <v>426</v>
      </c>
      <c r="C54" s="128">
        <f>C53/C33</f>
        <v>688.23</v>
      </c>
      <c r="D54" s="128">
        <f t="shared" ref="D54:O54" si="10">D53/D33</f>
        <v>589.00666666666666</v>
      </c>
      <c r="E54" s="128">
        <f t="shared" si="10"/>
        <v>537.44000000000005</v>
      </c>
      <c r="F54" s="128">
        <f t="shared" si="10"/>
        <v>505.50400000000002</v>
      </c>
      <c r="G54" s="128">
        <f t="shared" si="10"/>
        <v>483.63</v>
      </c>
      <c r="H54" s="128">
        <f t="shared" si="10"/>
        <v>467.62857142857143</v>
      </c>
      <c r="I54" s="128">
        <f t="shared" si="10"/>
        <v>455.37</v>
      </c>
      <c r="J54" s="128">
        <f t="shared" si="10"/>
        <v>437.72399999999999</v>
      </c>
      <c r="K54" s="128">
        <f t="shared" si="10"/>
        <v>425.55833333333334</v>
      </c>
      <c r="L54" s="128">
        <f t="shared" si="10"/>
        <v>416.60571428571427</v>
      </c>
      <c r="M54" s="128">
        <f t="shared" si="10"/>
        <v>409.71125000000001</v>
      </c>
      <c r="N54" s="128">
        <f t="shared" si="10"/>
        <v>404.2188888888889</v>
      </c>
      <c r="O54" s="128">
        <f t="shared" si="10"/>
        <v>399.72699999999998</v>
      </c>
      <c r="P54" s="60"/>
    </row>
    <row r="55" spans="1:16" x14ac:dyDescent="0.25">
      <c r="A55" s="14"/>
      <c r="B55" s="14"/>
      <c r="C55" s="143"/>
      <c r="D55" s="143"/>
      <c r="E55" s="143"/>
      <c r="F55" s="143"/>
      <c r="G55" s="143"/>
      <c r="H55" s="143"/>
      <c r="I55" s="143"/>
      <c r="J55" s="143"/>
      <c r="K55" s="143"/>
      <c r="L55" s="143"/>
      <c r="M55" s="143"/>
      <c r="N55" s="143"/>
      <c r="O55" s="143"/>
      <c r="P55" s="14"/>
    </row>
    <row r="56" spans="1:16" ht="18.75" x14ac:dyDescent="0.3">
      <c r="A56" s="4" t="s">
        <v>43</v>
      </c>
    </row>
    <row r="57" spans="1:16" x14ac:dyDescent="0.25">
      <c r="A57" s="24"/>
      <c r="B57" s="22"/>
      <c r="C57" s="22"/>
      <c r="D57" s="22"/>
      <c r="E57" s="22"/>
      <c r="F57" s="22"/>
      <c r="G57" s="22"/>
      <c r="H57" s="22"/>
      <c r="I57" s="22"/>
      <c r="J57" s="22"/>
      <c r="K57" s="22"/>
      <c r="L57" s="22"/>
      <c r="M57" s="22"/>
      <c r="N57" s="22"/>
      <c r="O57" s="22"/>
      <c r="P57" s="22"/>
    </row>
    <row r="58" spans="1:16" ht="14.45" customHeight="1" x14ac:dyDescent="0.25">
      <c r="A58" s="227"/>
      <c r="B58" s="228"/>
      <c r="C58" s="229"/>
      <c r="D58" s="95" t="s">
        <v>55</v>
      </c>
    </row>
    <row r="59" spans="1:16" ht="30" x14ac:dyDescent="0.25">
      <c r="A59" s="60"/>
      <c r="B59" s="55" t="s">
        <v>417</v>
      </c>
      <c r="C59" s="110">
        <v>120</v>
      </c>
      <c r="D59" s="103" t="s">
        <v>9</v>
      </c>
    </row>
    <row r="60" spans="1:16" ht="30" x14ac:dyDescent="0.25">
      <c r="A60" s="60"/>
      <c r="B60" s="64" t="s">
        <v>427</v>
      </c>
      <c r="C60" s="110">
        <v>1.4999999999999999E-2</v>
      </c>
      <c r="D60" s="103" t="s">
        <v>11</v>
      </c>
    </row>
    <row r="61" spans="1:16" ht="30" x14ac:dyDescent="0.25">
      <c r="A61" s="60"/>
      <c r="B61" s="64" t="s">
        <v>65</v>
      </c>
      <c r="C61" s="111">
        <v>70000</v>
      </c>
      <c r="D61" s="103" t="s">
        <v>19</v>
      </c>
    </row>
    <row r="62" spans="1:16" x14ac:dyDescent="0.25">
      <c r="A62" s="60"/>
      <c r="B62" s="64" t="s">
        <v>66</v>
      </c>
      <c r="C62" s="111">
        <v>6500</v>
      </c>
      <c r="D62" s="103" t="s">
        <v>19</v>
      </c>
    </row>
    <row r="63" spans="1:16" x14ac:dyDescent="0.25">
      <c r="A63" s="60"/>
      <c r="B63" s="64" t="s">
        <v>67</v>
      </c>
      <c r="C63" s="111">
        <v>1500</v>
      </c>
      <c r="D63" s="103" t="s">
        <v>19</v>
      </c>
    </row>
    <row r="64" spans="1:16" ht="17.25" x14ac:dyDescent="0.25">
      <c r="A64" s="60"/>
      <c r="B64" s="64" t="s">
        <v>68</v>
      </c>
      <c r="C64" s="111">
        <v>1000</v>
      </c>
      <c r="D64" s="103" t="s">
        <v>19</v>
      </c>
    </row>
    <row r="65" spans="1:10" x14ac:dyDescent="0.25">
      <c r="C65" s="1"/>
      <c r="D65" s="1"/>
    </row>
    <row r="66" spans="1:10" x14ac:dyDescent="0.25">
      <c r="A66" s="223"/>
      <c r="B66" s="224"/>
      <c r="C66" s="95">
        <v>5</v>
      </c>
      <c r="D66" s="95">
        <v>10</v>
      </c>
      <c r="E66" s="95">
        <v>20</v>
      </c>
      <c r="F66" s="95">
        <v>30</v>
      </c>
      <c r="G66" s="95">
        <v>40</v>
      </c>
      <c r="H66" s="95">
        <v>50</v>
      </c>
      <c r="I66" s="95">
        <v>60</v>
      </c>
      <c r="J66" s="218" t="s">
        <v>55</v>
      </c>
    </row>
    <row r="67" spans="1:10" x14ac:dyDescent="0.25">
      <c r="A67" s="225"/>
      <c r="B67" s="226"/>
      <c r="C67" s="95" t="s">
        <v>13</v>
      </c>
      <c r="D67" s="95" t="s">
        <v>13</v>
      </c>
      <c r="E67" s="95" t="s">
        <v>13</v>
      </c>
      <c r="F67" s="95" t="s">
        <v>13</v>
      </c>
      <c r="G67" s="95" t="s">
        <v>13</v>
      </c>
      <c r="H67" s="95" t="s">
        <v>13</v>
      </c>
      <c r="I67" s="95" t="s">
        <v>13</v>
      </c>
      <c r="J67" s="219"/>
    </row>
    <row r="68" spans="1:10" ht="30" x14ac:dyDescent="0.25">
      <c r="A68" s="60"/>
      <c r="B68" s="64" t="s">
        <v>428</v>
      </c>
      <c r="C68" s="110">
        <v>5.5E-2</v>
      </c>
      <c r="D68" s="110">
        <v>0.09</v>
      </c>
      <c r="E68" s="110">
        <v>0.13</v>
      </c>
      <c r="F68" s="110">
        <v>0.15</v>
      </c>
      <c r="G68" s="110">
        <v>0.17</v>
      </c>
      <c r="H68" s="110">
        <v>0.185</v>
      </c>
      <c r="I68" s="110">
        <v>0.2</v>
      </c>
      <c r="J68" s="103" t="s">
        <v>14</v>
      </c>
    </row>
    <row r="69" spans="1:10" x14ac:dyDescent="0.25">
      <c r="C69" s="1"/>
      <c r="D69" s="1"/>
      <c r="E69" s="1"/>
      <c r="F69" s="1"/>
      <c r="G69" s="1"/>
      <c r="H69" s="1"/>
      <c r="I69" s="1"/>
      <c r="J69" s="1"/>
    </row>
    <row r="70" spans="1:10" ht="18.75" x14ac:dyDescent="0.3">
      <c r="A70" s="4" t="s">
        <v>125</v>
      </c>
    </row>
    <row r="71" spans="1:10" x14ac:dyDescent="0.25">
      <c r="C71" s="1"/>
      <c r="D71" s="1"/>
      <c r="E71" s="1"/>
      <c r="F71" s="1"/>
      <c r="G71" s="1"/>
      <c r="H71" s="1"/>
      <c r="I71" s="1"/>
      <c r="J71" s="1"/>
    </row>
    <row r="72" spans="1:10" x14ac:dyDescent="0.25">
      <c r="A72" s="221"/>
      <c r="B72" s="220" t="s">
        <v>69</v>
      </c>
      <c r="C72" s="95">
        <v>50</v>
      </c>
      <c r="D72" s="95">
        <v>150</v>
      </c>
      <c r="E72" s="95">
        <v>300</v>
      </c>
      <c r="F72" s="95">
        <v>500</v>
      </c>
      <c r="G72" s="218" t="s">
        <v>55</v>
      </c>
      <c r="H72" s="1"/>
      <c r="I72" s="1"/>
      <c r="J72" s="1"/>
    </row>
    <row r="73" spans="1:10" x14ac:dyDescent="0.25">
      <c r="A73" s="222"/>
      <c r="B73" s="220"/>
      <c r="C73" s="99" t="s">
        <v>430</v>
      </c>
      <c r="D73" s="99" t="s">
        <v>430</v>
      </c>
      <c r="E73" s="99" t="s">
        <v>430</v>
      </c>
      <c r="F73" s="99" t="s">
        <v>430</v>
      </c>
      <c r="G73" s="219"/>
      <c r="H73" s="1"/>
      <c r="I73" s="1"/>
      <c r="J73" s="1"/>
    </row>
    <row r="74" spans="1:10" x14ac:dyDescent="0.25">
      <c r="A74" s="98" t="s">
        <v>112</v>
      </c>
      <c r="B74" s="82"/>
      <c r="C74" s="99"/>
      <c r="D74" s="99"/>
      <c r="E74" s="99"/>
      <c r="F74" s="99"/>
      <c r="G74" s="97"/>
      <c r="H74" s="1"/>
      <c r="I74" s="1"/>
      <c r="J74" s="1"/>
    </row>
    <row r="75" spans="1:10" x14ac:dyDescent="0.25">
      <c r="A75" s="100"/>
      <c r="B75" s="82" t="s">
        <v>70</v>
      </c>
      <c r="C75" s="112">
        <v>79000</v>
      </c>
      <c r="D75" s="112">
        <v>143000</v>
      </c>
      <c r="E75" s="112">
        <v>164000</v>
      </c>
      <c r="F75" s="112">
        <v>250000</v>
      </c>
      <c r="G75" s="97" t="s">
        <v>28</v>
      </c>
      <c r="H75" s="1"/>
      <c r="I75" s="1"/>
      <c r="J75" s="1"/>
    </row>
    <row r="76" spans="1:10" x14ac:dyDescent="0.25">
      <c r="A76" s="100"/>
      <c r="B76" s="82" t="s">
        <v>416</v>
      </c>
      <c r="C76" s="112">
        <v>30000</v>
      </c>
      <c r="D76" s="112">
        <v>35000</v>
      </c>
      <c r="E76" s="112">
        <v>70000</v>
      </c>
      <c r="F76" s="112">
        <v>105000</v>
      </c>
      <c r="G76" s="97" t="s">
        <v>28</v>
      </c>
      <c r="H76" s="1"/>
      <c r="I76" s="1"/>
      <c r="J76" s="1"/>
    </row>
    <row r="77" spans="1:10" x14ac:dyDescent="0.25">
      <c r="A77" s="100"/>
      <c r="B77" s="82" t="s">
        <v>71</v>
      </c>
      <c r="C77" s="112">
        <v>18000</v>
      </c>
      <c r="D77" s="112">
        <v>36000</v>
      </c>
      <c r="E77" s="112">
        <v>72000</v>
      </c>
      <c r="F77" s="112">
        <v>144000</v>
      </c>
      <c r="G77" s="97" t="s">
        <v>28</v>
      </c>
      <c r="H77" s="1"/>
      <c r="I77" s="1"/>
      <c r="J77" s="1"/>
    </row>
    <row r="78" spans="1:10" ht="30" x14ac:dyDescent="0.25">
      <c r="A78" s="100"/>
      <c r="B78" s="83" t="s">
        <v>72</v>
      </c>
      <c r="C78" s="112">
        <v>100000</v>
      </c>
      <c r="D78" s="112">
        <v>100000</v>
      </c>
      <c r="E78" s="112">
        <v>100000</v>
      </c>
      <c r="F78" s="112">
        <v>100000</v>
      </c>
      <c r="G78" s="103" t="s">
        <v>28</v>
      </c>
      <c r="H78" s="1"/>
      <c r="I78" s="1"/>
      <c r="J78" s="1"/>
    </row>
    <row r="79" spans="1:10" x14ac:dyDescent="0.25">
      <c r="A79" s="98" t="s">
        <v>73</v>
      </c>
      <c r="B79" s="60"/>
      <c r="C79" s="129">
        <f>SUM(C75:C78)</f>
        <v>227000</v>
      </c>
      <c r="D79" s="129">
        <f t="shared" ref="D79:F79" si="11">SUM(D75:D78)</f>
        <v>314000</v>
      </c>
      <c r="E79" s="129">
        <f t="shared" si="11"/>
        <v>406000</v>
      </c>
      <c r="F79" s="129">
        <f t="shared" si="11"/>
        <v>599000</v>
      </c>
      <c r="G79" s="97"/>
      <c r="H79" s="1"/>
      <c r="I79" s="1"/>
      <c r="J79" s="1"/>
    </row>
    <row r="80" spans="1:10" x14ac:dyDescent="0.25">
      <c r="A80" s="100"/>
      <c r="B80" s="82" t="s">
        <v>429</v>
      </c>
      <c r="C80" s="129">
        <f>C79/C72</f>
        <v>4540</v>
      </c>
      <c r="D80" s="129">
        <f t="shared" ref="D80:F80" si="12">D79/D72</f>
        <v>2093.3333333333335</v>
      </c>
      <c r="E80" s="129">
        <f t="shared" si="12"/>
        <v>1353.3333333333333</v>
      </c>
      <c r="F80" s="129">
        <f t="shared" si="12"/>
        <v>1198</v>
      </c>
      <c r="G80" s="97"/>
      <c r="H80" s="1"/>
      <c r="I80" s="1"/>
      <c r="J80" s="1"/>
    </row>
    <row r="81" spans="1:10" x14ac:dyDescent="0.25">
      <c r="A81" s="3"/>
      <c r="C81" s="18"/>
      <c r="D81" s="18"/>
      <c r="E81" s="18"/>
      <c r="F81" s="18"/>
      <c r="G81" s="1"/>
      <c r="H81" s="1"/>
      <c r="I81" s="1"/>
      <c r="J81" s="1"/>
    </row>
    <row r="82" spans="1:10" x14ac:dyDescent="0.25">
      <c r="A82" s="98" t="s">
        <v>74</v>
      </c>
      <c r="B82" s="60"/>
      <c r="C82" s="104"/>
      <c r="D82" s="104"/>
      <c r="E82" s="104"/>
      <c r="F82" s="104"/>
      <c r="G82" s="97"/>
      <c r="H82" s="1"/>
      <c r="I82" s="1"/>
      <c r="J82" s="1"/>
    </row>
    <row r="83" spans="1:10" x14ac:dyDescent="0.25">
      <c r="A83" s="100"/>
      <c r="B83" s="60" t="s">
        <v>24</v>
      </c>
      <c r="C83" s="113">
        <v>40000</v>
      </c>
      <c r="D83" s="113">
        <v>60000</v>
      </c>
      <c r="E83" s="113">
        <v>100000</v>
      </c>
      <c r="F83" s="113">
        <v>112000</v>
      </c>
      <c r="G83" s="97" t="s">
        <v>28</v>
      </c>
      <c r="H83" s="1"/>
      <c r="I83" s="1"/>
      <c r="J83" s="1"/>
    </row>
    <row r="84" spans="1:10" x14ac:dyDescent="0.25">
      <c r="A84" s="100"/>
      <c r="B84" s="60" t="s">
        <v>25</v>
      </c>
      <c r="C84" s="113">
        <v>75000</v>
      </c>
      <c r="D84" s="113">
        <v>120000</v>
      </c>
      <c r="E84" s="113">
        <v>185000</v>
      </c>
      <c r="F84" s="113">
        <v>225000</v>
      </c>
      <c r="G84" s="97" t="s">
        <v>28</v>
      </c>
      <c r="H84" s="1"/>
      <c r="I84" s="1"/>
      <c r="J84" s="1"/>
    </row>
    <row r="85" spans="1:10" x14ac:dyDescent="0.25">
      <c r="A85" s="100"/>
      <c r="B85" s="60" t="s">
        <v>26</v>
      </c>
      <c r="C85" s="113">
        <v>225000</v>
      </c>
      <c r="D85" s="113">
        <v>360000</v>
      </c>
      <c r="E85" s="113">
        <v>555000</v>
      </c>
      <c r="F85" s="113">
        <v>675000</v>
      </c>
      <c r="G85" s="97" t="s">
        <v>28</v>
      </c>
      <c r="H85" s="1"/>
      <c r="I85" s="1"/>
      <c r="J85" s="1"/>
    </row>
    <row r="86" spans="1:10" x14ac:dyDescent="0.25">
      <c r="A86" s="60"/>
      <c r="B86" s="60" t="s">
        <v>27</v>
      </c>
      <c r="C86" s="113">
        <v>375000</v>
      </c>
      <c r="D86" s="113">
        <v>600000</v>
      </c>
      <c r="E86" s="113">
        <v>925000</v>
      </c>
      <c r="F86" s="113">
        <v>1125000</v>
      </c>
      <c r="G86" s="97" t="s">
        <v>28</v>
      </c>
      <c r="H86" s="1"/>
      <c r="I86" s="1"/>
      <c r="J86" s="1"/>
    </row>
    <row r="87" spans="1:10" x14ac:dyDescent="0.25">
      <c r="A87" s="60"/>
      <c r="B87" s="60" t="s">
        <v>75</v>
      </c>
      <c r="C87" s="130">
        <f>C86/5</f>
        <v>75000</v>
      </c>
      <c r="D87" s="130">
        <f t="shared" ref="D87:E87" si="13">D86/5</f>
        <v>120000</v>
      </c>
      <c r="E87" s="130">
        <f t="shared" si="13"/>
        <v>185000</v>
      </c>
      <c r="F87" s="130">
        <f>F86/5</f>
        <v>225000</v>
      </c>
      <c r="G87" s="97"/>
      <c r="H87" s="1"/>
      <c r="I87" s="1"/>
      <c r="J87" s="1"/>
    </row>
    <row r="88" spans="1:10" x14ac:dyDescent="0.25">
      <c r="C88" s="19"/>
      <c r="D88" s="19"/>
      <c r="E88" s="19"/>
      <c r="F88" s="19"/>
      <c r="G88" s="1"/>
      <c r="H88" s="1"/>
      <c r="I88" s="1"/>
      <c r="J88" s="1"/>
    </row>
    <row r="89" spans="1:10" x14ac:dyDescent="0.25">
      <c r="A89" s="98" t="s">
        <v>76</v>
      </c>
      <c r="B89" s="60"/>
      <c r="C89" s="130">
        <f>C83+C79</f>
        <v>267000</v>
      </c>
      <c r="D89" s="130">
        <f>D83+$D$79</f>
        <v>374000</v>
      </c>
      <c r="E89" s="130">
        <f>E83+$E$79</f>
        <v>506000</v>
      </c>
      <c r="F89" s="130">
        <f>F83+$F$79</f>
        <v>711000</v>
      </c>
      <c r="G89" s="97"/>
      <c r="H89" s="1"/>
      <c r="I89" s="1"/>
      <c r="J89" s="1"/>
    </row>
    <row r="90" spans="1:10" x14ac:dyDescent="0.25">
      <c r="A90" s="102"/>
      <c r="B90" s="82" t="s">
        <v>429</v>
      </c>
      <c r="C90" s="130">
        <f>C89/C72</f>
        <v>5340</v>
      </c>
      <c r="D90" s="130">
        <f>D89/D72</f>
        <v>2493.3333333333335</v>
      </c>
      <c r="E90" s="130">
        <f>E89/E72</f>
        <v>1686.6666666666667</v>
      </c>
      <c r="F90" s="130">
        <f>F89/F72</f>
        <v>1422</v>
      </c>
      <c r="G90" s="97"/>
      <c r="H90" s="1"/>
      <c r="I90" s="1"/>
      <c r="J90" s="1"/>
    </row>
    <row r="91" spans="1:10" x14ac:dyDescent="0.25">
      <c r="A91" s="98" t="s">
        <v>77</v>
      </c>
      <c r="B91" s="60"/>
      <c r="C91" s="130">
        <f>C84+$C$79</f>
        <v>302000</v>
      </c>
      <c r="D91" s="130">
        <f>D84+$D$79</f>
        <v>434000</v>
      </c>
      <c r="E91" s="130">
        <f>E84+$E$79</f>
        <v>591000</v>
      </c>
      <c r="F91" s="130">
        <f>F84+$F$79</f>
        <v>824000</v>
      </c>
      <c r="G91" s="97"/>
      <c r="H91" s="1"/>
      <c r="I91" s="1"/>
      <c r="J91" s="1"/>
    </row>
    <row r="92" spans="1:10" x14ac:dyDescent="0.25">
      <c r="A92" s="102"/>
      <c r="B92" s="82" t="s">
        <v>429</v>
      </c>
      <c r="C92" s="130">
        <f>C91/C72</f>
        <v>6040</v>
      </c>
      <c r="D92" s="130">
        <f>D91/D72</f>
        <v>2893.3333333333335</v>
      </c>
      <c r="E92" s="130">
        <f>E91/E72</f>
        <v>1970</v>
      </c>
      <c r="F92" s="130">
        <f>F91/F72</f>
        <v>1648</v>
      </c>
      <c r="G92" s="97"/>
      <c r="H92" s="1"/>
      <c r="I92" s="1"/>
      <c r="J92" s="1"/>
    </row>
    <row r="93" spans="1:10" x14ac:dyDescent="0.25">
      <c r="A93" s="98" t="s">
        <v>78</v>
      </c>
      <c r="B93" s="60"/>
      <c r="C93" s="130">
        <f>C85+$C$79</f>
        <v>452000</v>
      </c>
      <c r="D93" s="130">
        <f>D85+$D$79</f>
        <v>674000</v>
      </c>
      <c r="E93" s="130">
        <f>E85+$E$79</f>
        <v>961000</v>
      </c>
      <c r="F93" s="130">
        <f>F85+$F$79</f>
        <v>1274000</v>
      </c>
      <c r="G93" s="97"/>
      <c r="H93" s="1"/>
      <c r="I93" s="1"/>
      <c r="J93" s="1"/>
    </row>
    <row r="94" spans="1:10" x14ac:dyDescent="0.25">
      <c r="A94" s="102"/>
      <c r="B94" s="82" t="s">
        <v>429</v>
      </c>
      <c r="C94" s="130">
        <f>C93/C72</f>
        <v>9040</v>
      </c>
      <c r="D94" s="130">
        <f>D93/D72</f>
        <v>4493.333333333333</v>
      </c>
      <c r="E94" s="130">
        <f>E93/E72</f>
        <v>3203.3333333333335</v>
      </c>
      <c r="F94" s="130">
        <f>F93/F72</f>
        <v>2548</v>
      </c>
      <c r="G94" s="97"/>
      <c r="H94" s="1"/>
      <c r="I94" s="1"/>
      <c r="J94" s="1"/>
    </row>
    <row r="95" spans="1:10" x14ac:dyDescent="0.25">
      <c r="A95" s="98" t="s">
        <v>79</v>
      </c>
      <c r="B95" s="60"/>
      <c r="C95" s="130">
        <f>C86+$C$79</f>
        <v>602000</v>
      </c>
      <c r="D95" s="130">
        <f>D86+$D$79</f>
        <v>914000</v>
      </c>
      <c r="E95" s="130">
        <f>E86+$E$79</f>
        <v>1331000</v>
      </c>
      <c r="F95" s="130">
        <f>F86+$F$79</f>
        <v>1724000</v>
      </c>
      <c r="G95" s="97"/>
      <c r="H95" s="1"/>
      <c r="I95" s="1"/>
      <c r="J95" s="1"/>
    </row>
    <row r="96" spans="1:10" x14ac:dyDescent="0.25">
      <c r="A96" s="102"/>
      <c r="B96" s="82" t="s">
        <v>429</v>
      </c>
      <c r="C96" s="130">
        <f>C95/C72</f>
        <v>12040</v>
      </c>
      <c r="D96" s="130">
        <f>D95/D72</f>
        <v>6093.333333333333</v>
      </c>
      <c r="E96" s="130">
        <f>E95/E72</f>
        <v>4436.666666666667</v>
      </c>
      <c r="F96" s="130">
        <f>F95/F72</f>
        <v>3448</v>
      </c>
      <c r="G96" s="97"/>
      <c r="H96" s="1"/>
      <c r="I96" s="1"/>
      <c r="J96" s="1"/>
    </row>
    <row r="97" spans="1:10" x14ac:dyDescent="0.25">
      <c r="A97" s="6"/>
      <c r="B97" s="12"/>
      <c r="C97" s="19"/>
      <c r="D97" s="19"/>
      <c r="E97" s="19"/>
      <c r="F97" s="19"/>
      <c r="G97" s="1"/>
      <c r="H97" s="1"/>
      <c r="I97" s="1"/>
      <c r="J97" s="1"/>
    </row>
    <row r="98" spans="1:10" x14ac:dyDescent="0.25">
      <c r="A98" s="230" t="s">
        <v>113</v>
      </c>
      <c r="B98" s="231"/>
      <c r="C98" s="232"/>
      <c r="D98" s="104" t="s">
        <v>55</v>
      </c>
      <c r="E98" s="19"/>
      <c r="F98" s="19"/>
      <c r="G98" s="1"/>
      <c r="H98" s="1"/>
      <c r="I98" s="1"/>
      <c r="J98" s="1"/>
    </row>
    <row r="99" spans="1:10" ht="30" x14ac:dyDescent="0.25">
      <c r="A99" s="102"/>
      <c r="B99" s="83" t="s">
        <v>405</v>
      </c>
      <c r="C99" s="114">
        <v>3.5</v>
      </c>
      <c r="D99" s="105" t="s">
        <v>9</v>
      </c>
      <c r="E99" s="21"/>
      <c r="F99" s="21"/>
      <c r="G99" s="1"/>
      <c r="H99" s="1"/>
      <c r="I99" s="1"/>
      <c r="J99" s="1"/>
    </row>
    <row r="100" spans="1:10" x14ac:dyDescent="0.25">
      <c r="A100" s="102"/>
      <c r="B100" s="83" t="s">
        <v>114</v>
      </c>
      <c r="C100" s="115">
        <v>8750</v>
      </c>
      <c r="D100" s="106" t="s">
        <v>9</v>
      </c>
      <c r="E100" s="20"/>
      <c r="F100" s="20"/>
      <c r="G100" s="1"/>
      <c r="H100" s="1"/>
      <c r="I100" s="1"/>
      <c r="J100" s="1"/>
    </row>
    <row r="101" spans="1:10" x14ac:dyDescent="0.25">
      <c r="A101" s="6"/>
      <c r="B101" s="12"/>
      <c r="C101" s="19"/>
      <c r="D101" s="19"/>
      <c r="E101" s="19"/>
      <c r="F101" s="19"/>
      <c r="G101" s="1"/>
      <c r="H101" s="1"/>
      <c r="I101" s="1"/>
      <c r="J101" s="1"/>
    </row>
    <row r="102" spans="1:10" ht="18.75" x14ac:dyDescent="0.3">
      <c r="A102" s="4" t="s">
        <v>80</v>
      </c>
    </row>
    <row r="103" spans="1:10" x14ac:dyDescent="0.25">
      <c r="C103" s="1"/>
      <c r="D103" s="1"/>
      <c r="E103" s="1"/>
      <c r="F103" s="1"/>
      <c r="G103" s="1"/>
      <c r="H103" s="1"/>
      <c r="I103" s="1"/>
      <c r="J103" s="1"/>
    </row>
    <row r="104" spans="1:10" x14ac:dyDescent="0.25">
      <c r="A104" s="215" t="s">
        <v>81</v>
      </c>
      <c r="B104" s="216"/>
      <c r="C104" s="217"/>
      <c r="D104" s="2"/>
      <c r="E104" s="1"/>
      <c r="F104" s="1"/>
      <c r="G104" s="1"/>
      <c r="H104" s="1"/>
      <c r="I104" s="1"/>
      <c r="J104" s="1"/>
    </row>
    <row r="105" spans="1:10" x14ac:dyDescent="0.25">
      <c r="A105" s="60"/>
      <c r="B105" s="60" t="s">
        <v>431</v>
      </c>
      <c r="C105" s="109">
        <v>9.9700000000000006</v>
      </c>
      <c r="D105" s="1"/>
      <c r="E105" s="1"/>
      <c r="F105" s="1"/>
      <c r="G105" s="1"/>
      <c r="H105" s="1"/>
      <c r="I105" s="1"/>
      <c r="J105" s="1"/>
    </row>
    <row r="106" spans="1:10" x14ac:dyDescent="0.25">
      <c r="A106" s="60"/>
      <c r="B106" s="60" t="s">
        <v>432</v>
      </c>
      <c r="C106" s="116">
        <f>C105*1.11</f>
        <v>11.066700000000001</v>
      </c>
      <c r="D106" s="1"/>
      <c r="E106" s="1"/>
      <c r="F106" s="1"/>
      <c r="G106" s="1"/>
      <c r="H106" s="1"/>
      <c r="I106" s="1"/>
      <c r="J106" s="1"/>
    </row>
    <row r="107" spans="1:10" x14ac:dyDescent="0.25">
      <c r="A107" s="215" t="s">
        <v>82</v>
      </c>
      <c r="B107" s="216"/>
      <c r="C107" s="217"/>
      <c r="D107" s="1"/>
      <c r="E107" s="1"/>
      <c r="F107" s="1"/>
      <c r="G107" s="1"/>
      <c r="H107" s="1"/>
      <c r="I107" s="1"/>
      <c r="J107" s="1"/>
    </row>
    <row r="108" spans="1:10" x14ac:dyDescent="0.25">
      <c r="A108" s="60"/>
      <c r="B108" s="60" t="s">
        <v>83</v>
      </c>
      <c r="C108" s="107">
        <v>8600</v>
      </c>
      <c r="D108" s="1"/>
      <c r="E108" s="1"/>
      <c r="F108" s="1"/>
      <c r="G108" s="1"/>
      <c r="H108" s="1"/>
      <c r="I108" s="1"/>
      <c r="J108" s="1"/>
    </row>
    <row r="109" spans="1:10" x14ac:dyDescent="0.25">
      <c r="A109" s="60"/>
      <c r="B109" s="60" t="s">
        <v>84</v>
      </c>
      <c r="C109" s="107">
        <v>36</v>
      </c>
      <c r="D109" s="1"/>
      <c r="E109" s="1"/>
      <c r="F109" s="1"/>
      <c r="G109" s="1"/>
      <c r="H109" s="1"/>
      <c r="I109" s="1"/>
      <c r="J109" s="1"/>
    </row>
    <row r="110" spans="1:10" x14ac:dyDescent="0.25">
      <c r="A110" s="60"/>
      <c r="B110" s="60" t="s">
        <v>88</v>
      </c>
      <c r="C110" s="107">
        <v>15</v>
      </c>
      <c r="D110" s="1"/>
      <c r="E110" s="1"/>
      <c r="F110" s="1"/>
      <c r="G110" s="1"/>
      <c r="H110" s="1"/>
      <c r="I110" s="1"/>
      <c r="J110" s="1"/>
    </row>
    <row r="111" spans="1:10" x14ac:dyDescent="0.25">
      <c r="A111" s="60"/>
      <c r="B111" s="60" t="s">
        <v>85</v>
      </c>
      <c r="C111" s="107">
        <v>10</v>
      </c>
      <c r="D111" s="1"/>
      <c r="E111" s="1"/>
      <c r="F111" s="1"/>
      <c r="G111" s="1"/>
      <c r="H111" s="1"/>
      <c r="I111" s="1"/>
      <c r="J111" s="1"/>
    </row>
    <row r="112" spans="1:10" x14ac:dyDescent="0.25">
      <c r="A112" s="60"/>
      <c r="B112" s="60" t="s">
        <v>86</v>
      </c>
      <c r="C112" s="107">
        <v>5</v>
      </c>
      <c r="D112" s="1"/>
      <c r="E112" s="1"/>
      <c r="F112" s="1"/>
      <c r="G112" s="1"/>
      <c r="H112" s="1"/>
      <c r="I112" s="1"/>
      <c r="J112" s="1"/>
    </row>
    <row r="113" spans="1:10" x14ac:dyDescent="0.25">
      <c r="A113" s="215" t="s">
        <v>87</v>
      </c>
      <c r="B113" s="216"/>
      <c r="C113" s="217"/>
      <c r="D113" s="1"/>
      <c r="E113" s="1"/>
      <c r="F113" s="1"/>
      <c r="G113" s="1"/>
      <c r="H113" s="1"/>
      <c r="I113" s="1"/>
      <c r="J113" s="1"/>
    </row>
    <row r="114" spans="1:10" x14ac:dyDescent="0.25">
      <c r="A114" s="60"/>
      <c r="B114" s="60" t="s">
        <v>88</v>
      </c>
      <c r="C114" s="107">
        <v>15</v>
      </c>
      <c r="D114" s="1"/>
      <c r="E114" s="1"/>
      <c r="F114" s="1"/>
      <c r="G114" s="1"/>
      <c r="H114" s="1"/>
      <c r="I114" s="1"/>
      <c r="J114" s="1"/>
    </row>
    <row r="115" spans="1:10" x14ac:dyDescent="0.25">
      <c r="A115" s="60"/>
      <c r="B115" s="60" t="s">
        <v>85</v>
      </c>
      <c r="C115" s="107">
        <v>10</v>
      </c>
      <c r="D115" s="1"/>
      <c r="E115" s="1"/>
      <c r="F115" s="1"/>
      <c r="G115" s="1"/>
      <c r="H115" s="1"/>
      <c r="I115" s="1"/>
      <c r="J115" s="1"/>
    </row>
    <row r="116" spans="1:10" x14ac:dyDescent="0.25">
      <c r="A116" s="60"/>
      <c r="B116" s="60" t="s">
        <v>86</v>
      </c>
      <c r="C116" s="107">
        <v>5</v>
      </c>
      <c r="D116" s="1"/>
      <c r="E116" s="1"/>
      <c r="F116" s="1"/>
      <c r="G116" s="1"/>
      <c r="H116" s="1"/>
      <c r="I116" s="1"/>
      <c r="J116" s="1"/>
    </row>
    <row r="117" spans="1:10" x14ac:dyDescent="0.25">
      <c r="A117" s="215" t="s">
        <v>329</v>
      </c>
      <c r="B117" s="216"/>
      <c r="C117" s="217"/>
      <c r="D117" s="1"/>
      <c r="E117" s="1"/>
      <c r="F117" s="1"/>
      <c r="G117" s="1"/>
      <c r="H117" s="1"/>
      <c r="I117" s="1"/>
      <c r="J117" s="1"/>
    </row>
    <row r="118" spans="1:10" x14ac:dyDescent="0.25">
      <c r="A118" s="60"/>
      <c r="B118" s="60" t="s">
        <v>88</v>
      </c>
      <c r="C118" s="107">
        <v>15</v>
      </c>
      <c r="D118" s="1"/>
      <c r="E118" s="1"/>
      <c r="F118" s="1"/>
      <c r="G118" s="1"/>
      <c r="H118" s="1"/>
      <c r="I118" s="1"/>
      <c r="J118" s="1"/>
    </row>
    <row r="119" spans="1:10" x14ac:dyDescent="0.25">
      <c r="A119" s="60"/>
      <c r="B119" s="60" t="s">
        <v>85</v>
      </c>
      <c r="C119" s="107">
        <v>10</v>
      </c>
      <c r="D119" s="1"/>
      <c r="E119" s="1"/>
      <c r="F119" s="1"/>
      <c r="G119" s="1"/>
      <c r="H119" s="1"/>
      <c r="I119" s="1"/>
      <c r="J119" s="1"/>
    </row>
    <row r="120" spans="1:10" x14ac:dyDescent="0.25">
      <c r="A120" s="60"/>
      <c r="B120" s="60" t="s">
        <v>86</v>
      </c>
      <c r="C120" s="107">
        <v>5</v>
      </c>
      <c r="D120" s="1"/>
      <c r="E120" s="1"/>
      <c r="F120" s="1"/>
      <c r="G120" s="1"/>
      <c r="H120" s="1"/>
      <c r="I120" s="1"/>
      <c r="J120" s="1"/>
    </row>
    <row r="121" spans="1:10" x14ac:dyDescent="0.25">
      <c r="A121" s="215" t="s">
        <v>89</v>
      </c>
      <c r="B121" s="216"/>
      <c r="C121" s="217"/>
      <c r="D121" s="1"/>
      <c r="E121" s="1"/>
      <c r="F121" s="1"/>
      <c r="G121" s="1"/>
      <c r="H121" s="1"/>
      <c r="I121" s="1"/>
      <c r="J121" s="1"/>
    </row>
    <row r="122" spans="1:10" x14ac:dyDescent="0.25">
      <c r="A122" s="60"/>
      <c r="B122" s="60" t="s">
        <v>88</v>
      </c>
      <c r="C122" s="111">
        <v>15</v>
      </c>
      <c r="D122" s="10"/>
      <c r="E122" s="1"/>
      <c r="F122" s="1"/>
      <c r="G122" s="1"/>
      <c r="H122" s="1"/>
      <c r="I122" s="1"/>
      <c r="J122" s="1"/>
    </row>
    <row r="123" spans="1:10" x14ac:dyDescent="0.25">
      <c r="A123" s="60"/>
      <c r="B123" s="60" t="s">
        <v>85</v>
      </c>
      <c r="C123" s="111">
        <v>10</v>
      </c>
      <c r="D123" s="10"/>
      <c r="E123" s="1"/>
      <c r="F123" s="1"/>
      <c r="G123" s="1"/>
      <c r="H123" s="1"/>
      <c r="I123" s="1"/>
      <c r="J123" s="1"/>
    </row>
    <row r="124" spans="1:10" x14ac:dyDescent="0.25">
      <c r="A124" s="60"/>
      <c r="B124" s="60" t="s">
        <v>86</v>
      </c>
      <c r="C124" s="111">
        <v>5</v>
      </c>
      <c r="D124" s="10"/>
      <c r="E124" s="1"/>
      <c r="F124" s="1"/>
      <c r="G124" s="1"/>
      <c r="H124" s="1"/>
      <c r="I124" s="1"/>
      <c r="J124" s="1"/>
    </row>
    <row r="125" spans="1:10" x14ac:dyDescent="0.25">
      <c r="A125" s="215" t="s">
        <v>90</v>
      </c>
      <c r="B125" s="216"/>
      <c r="C125" s="217"/>
      <c r="D125" s="10"/>
      <c r="E125" s="1"/>
      <c r="F125" s="1"/>
      <c r="G125" s="1"/>
      <c r="H125" s="1"/>
      <c r="I125" s="1"/>
      <c r="J125" s="1"/>
    </row>
    <row r="126" spans="1:10" x14ac:dyDescent="0.25">
      <c r="A126" s="60"/>
      <c r="B126" s="60" t="s">
        <v>88</v>
      </c>
      <c r="C126" s="111">
        <v>15</v>
      </c>
      <c r="D126" s="10"/>
      <c r="E126" s="1"/>
      <c r="F126" s="1"/>
      <c r="G126" s="1"/>
      <c r="H126" s="1"/>
      <c r="I126" s="1"/>
      <c r="J126" s="1"/>
    </row>
    <row r="127" spans="1:10" x14ac:dyDescent="0.25">
      <c r="A127" s="60"/>
      <c r="B127" s="60" t="s">
        <v>85</v>
      </c>
      <c r="C127" s="111">
        <v>10</v>
      </c>
      <c r="D127" s="10"/>
      <c r="E127" s="1"/>
      <c r="F127" s="1"/>
      <c r="G127" s="1"/>
      <c r="H127" s="1"/>
      <c r="I127" s="1"/>
      <c r="J127" s="1"/>
    </row>
    <row r="128" spans="1:10" x14ac:dyDescent="0.25">
      <c r="A128" s="60"/>
      <c r="B128" s="60" t="s">
        <v>86</v>
      </c>
      <c r="C128" s="111">
        <v>5</v>
      </c>
      <c r="D128" s="10"/>
      <c r="E128" s="1"/>
      <c r="F128" s="1"/>
      <c r="G128" s="1"/>
      <c r="H128" s="1"/>
      <c r="I128" s="1"/>
      <c r="J128" s="1"/>
    </row>
    <row r="130" spans="1:15" ht="18.75" x14ac:dyDescent="0.3">
      <c r="A130" s="119" t="s">
        <v>91</v>
      </c>
      <c r="B130" s="13"/>
      <c r="C130" s="13"/>
      <c r="D130" s="13"/>
      <c r="E130" s="13"/>
      <c r="F130" s="13"/>
      <c r="G130" s="13"/>
      <c r="H130" s="13"/>
      <c r="I130" s="13"/>
      <c r="J130" s="13"/>
      <c r="K130" s="13"/>
      <c r="L130" s="16"/>
    </row>
    <row r="131" spans="1:15" x14ac:dyDescent="0.25">
      <c r="A131" s="120"/>
      <c r="B131" s="14"/>
      <c r="C131" s="14"/>
      <c r="D131" s="14"/>
      <c r="E131" s="14"/>
      <c r="F131" s="14"/>
      <c r="G131" s="14"/>
      <c r="H131" s="14"/>
      <c r="I131" s="14"/>
      <c r="J131" s="14"/>
      <c r="K131" s="14"/>
      <c r="L131" s="121"/>
    </row>
    <row r="132" spans="1:15" x14ac:dyDescent="0.25">
      <c r="A132" s="123" t="s">
        <v>1</v>
      </c>
      <c r="B132" s="14" t="s">
        <v>5</v>
      </c>
      <c r="C132" s="14"/>
      <c r="D132" s="14"/>
      <c r="E132" s="14"/>
      <c r="F132" s="14"/>
      <c r="G132" s="14"/>
      <c r="H132" s="14"/>
      <c r="I132" s="14"/>
      <c r="J132" s="14"/>
      <c r="K132" s="14"/>
      <c r="L132" s="121"/>
    </row>
    <row r="133" spans="1:15" x14ac:dyDescent="0.25">
      <c r="A133" s="123" t="s">
        <v>2</v>
      </c>
      <c r="B133" s="14" t="s">
        <v>4</v>
      </c>
      <c r="C133" s="14"/>
      <c r="D133" s="14"/>
      <c r="E133" s="14"/>
      <c r="F133" s="14"/>
      <c r="G133" s="14"/>
      <c r="H133" s="14"/>
      <c r="I133" s="14"/>
      <c r="J133" s="14"/>
      <c r="K133" s="14"/>
      <c r="L133" s="121"/>
    </row>
    <row r="134" spans="1:15" x14ac:dyDescent="0.25">
      <c r="A134" s="123" t="s">
        <v>3</v>
      </c>
      <c r="B134" s="14" t="s">
        <v>8</v>
      </c>
      <c r="C134" s="14"/>
      <c r="D134" s="14"/>
      <c r="E134" s="14"/>
      <c r="F134" s="14"/>
      <c r="G134" s="14"/>
      <c r="H134" s="14"/>
      <c r="I134" s="14"/>
      <c r="J134" s="14"/>
      <c r="K134" s="14"/>
      <c r="L134" s="121"/>
    </row>
    <row r="135" spans="1:15" x14ac:dyDescent="0.25">
      <c r="A135" s="123" t="s">
        <v>9</v>
      </c>
      <c r="B135" s="14" t="s">
        <v>10</v>
      </c>
      <c r="C135" s="14"/>
      <c r="D135" s="14"/>
      <c r="E135" s="14"/>
      <c r="F135" s="14"/>
      <c r="G135" s="14"/>
      <c r="H135" s="14"/>
      <c r="I135" s="14"/>
      <c r="J135" s="14"/>
      <c r="K135" s="14"/>
      <c r="L135" s="121"/>
    </row>
    <row r="136" spans="1:15" x14ac:dyDescent="0.25">
      <c r="A136" s="123" t="s">
        <v>11</v>
      </c>
      <c r="B136" s="14" t="s">
        <v>12</v>
      </c>
      <c r="C136" s="14"/>
      <c r="D136" s="14"/>
      <c r="E136" s="14"/>
      <c r="F136" s="14"/>
      <c r="G136" s="14"/>
      <c r="H136" s="14"/>
      <c r="I136" s="14"/>
      <c r="J136" s="14"/>
      <c r="K136" s="14"/>
      <c r="L136" s="121"/>
    </row>
    <row r="137" spans="1:15" x14ac:dyDescent="0.25">
      <c r="A137" s="123" t="s">
        <v>14</v>
      </c>
      <c r="B137" s="14" t="s">
        <v>15</v>
      </c>
      <c r="C137" s="14"/>
      <c r="D137" s="14"/>
      <c r="E137" s="14"/>
      <c r="F137" s="14"/>
      <c r="G137" s="14"/>
      <c r="H137" s="14"/>
      <c r="I137" s="14"/>
      <c r="J137" s="14"/>
      <c r="K137" s="14"/>
      <c r="L137" s="121"/>
    </row>
    <row r="138" spans="1:15" x14ac:dyDescent="0.25">
      <c r="A138" s="123" t="s">
        <v>19</v>
      </c>
      <c r="B138" s="14" t="s">
        <v>308</v>
      </c>
      <c r="C138" s="14"/>
      <c r="D138" s="14"/>
      <c r="E138" s="14"/>
      <c r="F138" s="14"/>
      <c r="G138" s="14"/>
      <c r="H138" s="14"/>
      <c r="I138" s="14"/>
      <c r="J138" s="14"/>
      <c r="K138" s="14"/>
      <c r="L138" s="121"/>
    </row>
    <row r="139" spans="1:15" x14ac:dyDescent="0.25">
      <c r="A139" s="123" t="s">
        <v>28</v>
      </c>
      <c r="B139" s="14" t="s">
        <v>29</v>
      </c>
      <c r="C139" s="14"/>
      <c r="D139" s="14"/>
      <c r="E139" s="14"/>
      <c r="F139" s="14"/>
      <c r="G139" s="14"/>
      <c r="H139" s="14"/>
      <c r="I139" s="14"/>
      <c r="J139" s="14"/>
      <c r="K139" s="14"/>
      <c r="L139" s="121"/>
    </row>
    <row r="140" spans="1:15" ht="17.25" x14ac:dyDescent="0.25">
      <c r="A140" s="126" t="s">
        <v>341</v>
      </c>
      <c r="B140" s="15" t="s">
        <v>346</v>
      </c>
      <c r="C140" s="15"/>
      <c r="D140" s="15"/>
      <c r="E140" s="15"/>
      <c r="F140" s="15"/>
      <c r="G140" s="15"/>
      <c r="H140" s="15"/>
      <c r="I140" s="15"/>
      <c r="J140" s="15"/>
      <c r="K140" s="15"/>
      <c r="L140" s="122"/>
    </row>
    <row r="142" spans="1:15" ht="18.75" x14ac:dyDescent="0.3">
      <c r="A142" s="119" t="s">
        <v>92</v>
      </c>
      <c r="B142" s="13"/>
      <c r="C142" s="13"/>
      <c r="D142" s="13"/>
      <c r="E142" s="13"/>
      <c r="F142" s="13"/>
      <c r="G142" s="13"/>
      <c r="H142" s="13"/>
      <c r="I142" s="13"/>
      <c r="J142" s="13"/>
      <c r="K142" s="13"/>
      <c r="L142" s="13"/>
      <c r="M142" s="13"/>
      <c r="N142" s="13"/>
      <c r="O142" s="16"/>
    </row>
    <row r="143" spans="1:15" x14ac:dyDescent="0.25">
      <c r="A143" s="120"/>
      <c r="B143" s="14"/>
      <c r="C143" s="14"/>
      <c r="D143" s="14"/>
      <c r="E143" s="14"/>
      <c r="F143" s="14"/>
      <c r="G143" s="14"/>
      <c r="H143" s="14"/>
      <c r="I143" s="14"/>
      <c r="J143" s="14"/>
      <c r="K143" s="14"/>
      <c r="L143" s="14"/>
      <c r="M143" s="14"/>
      <c r="N143" s="14"/>
      <c r="O143" s="121"/>
    </row>
    <row r="144" spans="1:15" ht="17.25" x14ac:dyDescent="0.25">
      <c r="A144" s="124" t="s">
        <v>6</v>
      </c>
      <c r="B144" s="14" t="s">
        <v>93</v>
      </c>
      <c r="C144" s="14"/>
      <c r="D144" s="14"/>
      <c r="E144" s="14"/>
      <c r="F144" s="14"/>
      <c r="G144" s="14"/>
      <c r="H144" s="14"/>
      <c r="I144" s="14"/>
      <c r="J144" s="14"/>
      <c r="K144" s="14"/>
      <c r="L144" s="14"/>
      <c r="M144" s="14"/>
      <c r="N144" s="14"/>
      <c r="O144" s="121"/>
    </row>
    <row r="145" spans="1:15" ht="17.25" x14ac:dyDescent="0.25">
      <c r="A145" s="124" t="s">
        <v>7</v>
      </c>
      <c r="B145" s="14" t="s">
        <v>115</v>
      </c>
      <c r="C145" s="14"/>
      <c r="D145" s="14"/>
      <c r="E145" s="14"/>
      <c r="F145" s="14"/>
      <c r="G145" s="14"/>
      <c r="H145" s="14"/>
      <c r="I145" s="14"/>
      <c r="J145" s="14"/>
      <c r="K145" s="14"/>
      <c r="L145" s="14"/>
      <c r="M145" s="14"/>
      <c r="N145" s="14"/>
      <c r="O145" s="121"/>
    </row>
    <row r="146" spans="1:15" ht="17.25" x14ac:dyDescent="0.25">
      <c r="A146" s="125" t="s">
        <v>20</v>
      </c>
      <c r="B146" s="15" t="s">
        <v>94</v>
      </c>
      <c r="C146" s="15"/>
      <c r="D146" s="15"/>
      <c r="E146" s="15"/>
      <c r="F146" s="15"/>
      <c r="G146" s="15"/>
      <c r="H146" s="15"/>
      <c r="I146" s="15"/>
      <c r="J146" s="15"/>
      <c r="K146" s="15"/>
      <c r="L146" s="15"/>
      <c r="M146" s="15"/>
      <c r="N146" s="15"/>
      <c r="O146" s="122"/>
    </row>
  </sheetData>
  <sheetProtection algorithmName="SHA-512" hashValue="xNROx0v/PR8uSGRbx8k+uinRmDFFYvZuQHBMSM6rSVOjlS1YECTuCKfY3qQzC8oQi0bpi42hzgZza5MYEmpWWw==" saltValue="/Z+miyITO4Pp7qSGq8Mgtw==" spinCount="100000" sheet="1" objects="1" scenarios="1"/>
  <protectedRanges>
    <protectedRange sqref="C15:J15 C18:J18 C21:J22 C26:C29 C36:O36 C38:O38 C41:O41 C43:O43 C46:O46 C48:O48 C51:O51 C53:O53 C59:C64 C68:I68 C75:F78 C83:F86 C99:C100 C105:C106 C108:C112 C114:C116 C118:C120 C122:C124 C126:C128" name="Bereich1"/>
  </protectedRanges>
  <mergeCells count="17">
    <mergeCell ref="A113:C113"/>
    <mergeCell ref="F26:N29"/>
    <mergeCell ref="F25:N25"/>
    <mergeCell ref="A121:C121"/>
    <mergeCell ref="A125:C125"/>
    <mergeCell ref="J66:J67"/>
    <mergeCell ref="B33:B34"/>
    <mergeCell ref="B72:B73"/>
    <mergeCell ref="A33:A34"/>
    <mergeCell ref="A72:A73"/>
    <mergeCell ref="A66:B67"/>
    <mergeCell ref="A117:C117"/>
    <mergeCell ref="A58:C58"/>
    <mergeCell ref="G72:G73"/>
    <mergeCell ref="A98:C98"/>
    <mergeCell ref="A104:C104"/>
    <mergeCell ref="A107:C107"/>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2:I112"/>
  <sheetViews>
    <sheetView showGridLines="0" workbookViewId="0"/>
  </sheetViews>
  <sheetFormatPr defaultColWidth="11.42578125" defaultRowHeight="15" x14ac:dyDescent="0.25"/>
  <cols>
    <col min="1" max="1" width="55.140625" customWidth="1"/>
    <col min="2" max="2" width="18.28515625" customWidth="1"/>
    <col min="3" max="3" width="11.28515625" customWidth="1"/>
    <col min="4" max="4" width="20.28515625" bestFit="1" customWidth="1"/>
    <col min="5" max="5" width="14.7109375" bestFit="1" customWidth="1"/>
    <col min="6" max="6" width="14.28515625" bestFit="1" customWidth="1"/>
    <col min="7" max="7" width="15.7109375" bestFit="1" customWidth="1"/>
  </cols>
  <sheetData>
    <row r="2" spans="1:4" ht="21" x14ac:dyDescent="0.35">
      <c r="A2" s="9" t="s">
        <v>315</v>
      </c>
    </row>
    <row r="4" spans="1:4" ht="18.75" x14ac:dyDescent="0.3">
      <c r="A4" s="4" t="s">
        <v>95</v>
      </c>
    </row>
    <row r="5" spans="1:4" s="6" customFormat="1" ht="14.45" customHeight="1" x14ac:dyDescent="0.25"/>
    <row r="6" spans="1:4" x14ac:dyDescent="0.25">
      <c r="A6" s="38" t="s">
        <v>295</v>
      </c>
    </row>
    <row r="7" spans="1:4" x14ac:dyDescent="0.25">
      <c r="A7" s="60" t="s">
        <v>103</v>
      </c>
      <c r="B7" s="80">
        <f>'Biogas yields'!L74</f>
        <v>8020</v>
      </c>
      <c r="C7" s="66" t="s">
        <v>290</v>
      </c>
    </row>
    <row r="8" spans="1:4" x14ac:dyDescent="0.25">
      <c r="A8" s="60" t="s">
        <v>96</v>
      </c>
      <c r="B8" s="70">
        <f>'Biogas yields'!L70</f>
        <v>1526000</v>
      </c>
      <c r="C8" s="66" t="s">
        <v>100</v>
      </c>
    </row>
    <row r="9" spans="1:4" x14ac:dyDescent="0.25">
      <c r="A9" s="60" t="s">
        <v>97</v>
      </c>
      <c r="B9" s="70">
        <f>'Biogas yields'!L71</f>
        <v>943040</v>
      </c>
      <c r="C9" s="66" t="s">
        <v>100</v>
      </c>
    </row>
    <row r="10" spans="1:4" x14ac:dyDescent="0.25">
      <c r="A10" s="60" t="s">
        <v>98</v>
      </c>
      <c r="B10" s="70">
        <f>B9/B8*100</f>
        <v>61.798165137614681</v>
      </c>
      <c r="C10" s="66" t="s">
        <v>0</v>
      </c>
    </row>
    <row r="11" spans="1:4" x14ac:dyDescent="0.25">
      <c r="A11" s="64" t="s">
        <v>99</v>
      </c>
      <c r="B11" s="81">
        <f>B9*'Operating numbers'!C105/1000</f>
        <v>9402.1088</v>
      </c>
      <c r="C11" s="82" t="s">
        <v>17</v>
      </c>
    </row>
    <row r="12" spans="1:4" ht="18" x14ac:dyDescent="0.35">
      <c r="A12" s="60" t="s">
        <v>406</v>
      </c>
      <c r="B12" s="70">
        <f>(B11*1000*'Operating numbers'!C109/100)/'Operating numbers'!C108</f>
        <v>393.57664744186047</v>
      </c>
      <c r="C12" s="66" t="s">
        <v>22</v>
      </c>
    </row>
    <row r="13" spans="1:4" x14ac:dyDescent="0.25">
      <c r="C13" s="7"/>
      <c r="D13" s="11"/>
    </row>
    <row r="14" spans="1:4" x14ac:dyDescent="0.25">
      <c r="A14" s="38" t="s">
        <v>101</v>
      </c>
      <c r="D14" s="11"/>
    </row>
    <row r="15" spans="1:4" x14ac:dyDescent="0.25">
      <c r="A15" s="60" t="s">
        <v>339</v>
      </c>
      <c r="B15" s="70">
        <f>IF('Input data'!B10="Y",IF(B12&lt;=110,B12*'Operating numbers'!C16,IF(AND(Results!B12&gt;110,Results!B12&lt;=200),Results!B12*'Operating numbers'!D16,IF(AND(Results!B12&gt;200,Results!B12&lt;=375),Results!B12*(('Operating numbers'!E16+'Operating numbers'!F16)/2),IF(AND(Results!B12&gt;375,Results!B12&lt;=625),Results!B12*'Operating numbers'!G16,IF(AND(Results!B12&gt;625,Results!B12&lt;=875),Results!B12*'Operating numbers'!H16,Results!B12*AVERAGE('Operating numbers'!I16,'Operating numbers'!J16)))))),0)</f>
        <v>1401085.6356953303</v>
      </c>
      <c r="C15" s="66" t="s">
        <v>18</v>
      </c>
    </row>
    <row r="16" spans="1:4" ht="28.9" customHeight="1" x14ac:dyDescent="0.25">
      <c r="A16" s="157" t="s">
        <v>372</v>
      </c>
      <c r="B16" s="233" t="str">
        <f>IF((('Biogas yields'!I46+'Biogas yields'!I47+'Biogas yields'!I48+'Biogas yields'!I50)/SUM('Biogas yields'!I15:I62))&gt;0.5,"main focus on food waste and waste from kitchens/canteens",IF(('Biogas yields'!I52/SUM('Biogas yields'!I15:I62))&gt;0.5,"main focus on oils and fats, grease traps",IF(('Biogas yields'!I44/SUM('Biogas yields'!I15:I62))&gt;0.5,"main focus on waste from organic waste collection bin","no main focus on special waste types")))</f>
        <v>main focus on waste from organic waste collection bin</v>
      </c>
      <c r="C16" s="234"/>
    </row>
    <row r="17" spans="1:3" x14ac:dyDescent="0.25">
      <c r="A17" s="60" t="s">
        <v>340</v>
      </c>
      <c r="B17" s="70">
        <f>IF('Input data'!B10="Y",IF((('Biogas yields'!I46+'Biogas yields'!I47+'Biogas yields'!I48+'Biogas yields'!I50)/SUM('Biogas yields'!I15:I62))&gt;0.5,Results!B15*('Operating numbers'!C27/100),IF(('Biogas yields'!I52/SUM('Biogas yields'!I15:I62))&gt;0.5,Results!B15*('Operating numbers'!C28/100),IF(('Biogas yields'!I44/SUM('Biogas yields'!I15:I62))&gt;0.5,Results!B15*('Operating numbers'!C29/100),Results!B15*('Operating numbers'!C26/100)))),0)</f>
        <v>3502714.0892383261</v>
      </c>
      <c r="C17" s="92" t="s">
        <v>18</v>
      </c>
    </row>
    <row r="18" spans="1:3" x14ac:dyDescent="0.25">
      <c r="A18" s="60" t="s">
        <v>403</v>
      </c>
      <c r="B18" s="70">
        <f>IF('Input data'!B10="Y",'Input data'!B71,0)</f>
        <v>100000</v>
      </c>
      <c r="C18" s="66" t="s">
        <v>18</v>
      </c>
    </row>
    <row r="19" spans="1:3" x14ac:dyDescent="0.25">
      <c r="A19" s="60" t="s">
        <v>104</v>
      </c>
      <c r="B19" s="70">
        <f>B15+B17-B18</f>
        <v>4803799.7249336559</v>
      </c>
      <c r="C19" s="66" t="s">
        <v>18</v>
      </c>
    </row>
    <row r="20" spans="1:3" x14ac:dyDescent="0.25">
      <c r="A20" s="17"/>
      <c r="B20" s="117"/>
      <c r="C20" s="65"/>
    </row>
    <row r="21" spans="1:3" x14ac:dyDescent="0.25">
      <c r="A21" s="60" t="s">
        <v>116</v>
      </c>
      <c r="B21" s="70">
        <f>IF('Input data'!B11="Y",IF(B12&lt;=110,B12*'Operating numbers'!C19,IF(AND(Results!B12&gt;110,Results!B12&lt;=200),Results!B12*'Operating numbers'!D19,IF(AND(Results!B12&gt;200,Results!B12&lt;=375),Results!B12*(('Operating numbers'!E19+'Operating numbers'!F19)/2),IF(AND(Results!B12&gt;375,Results!B12&lt;=625),Results!B12*'Operating numbers'!G19,IF(AND(Results!B12&gt;625,Results!B12&lt;=875),Results!B12*'Operating numbers'!H19,Results!B12*AVERAGE('Operating numbers'!I19,'Operating numbers'!J19)))))),0)</f>
        <v>116603.37903101025</v>
      </c>
      <c r="C21" s="66" t="s">
        <v>16</v>
      </c>
    </row>
    <row r="22" spans="1:3" x14ac:dyDescent="0.25">
      <c r="A22" s="60" t="s">
        <v>407</v>
      </c>
      <c r="B22" s="80">
        <f>IF('Input data'!B12="Y",'Biogas yields'!L72,0)</f>
        <v>0</v>
      </c>
      <c r="C22" s="66" t="s">
        <v>16</v>
      </c>
    </row>
    <row r="23" spans="1:3" x14ac:dyDescent="0.25">
      <c r="A23" s="60" t="s">
        <v>105</v>
      </c>
      <c r="B23" s="70">
        <f>IF('Input data'!B11="Y",IF(B12&lt;=110,'Operating numbers'!C21,IF(AND(Results!B12&gt;110,Results!B12&lt;=200),'Operating numbers'!D21,IF(AND(Results!B12&gt;200,Results!B12&lt;=375),('Operating numbers'!E21+'Operating numbers'!F21)/2,IF(AND(Results!B12&gt;375,Results!B12&lt;=625),'Operating numbers'!G21,IF(AND(Results!B12&gt;625,Results!B12&lt;=875),'Operating numbers'!H21,AVERAGE('Operating numbers'!I21,'Operating numbers'!J21)))))),0)</f>
        <v>11479</v>
      </c>
      <c r="C23" s="66" t="s">
        <v>16</v>
      </c>
    </row>
    <row r="24" spans="1:3" x14ac:dyDescent="0.25">
      <c r="A24" s="60" t="s">
        <v>106</v>
      </c>
      <c r="B24" s="70">
        <f>IF('Input data'!B11="Y",IF(B12&lt;=110,'Operating numbers'!C22,IF(AND(Results!B12&gt;110,Results!B12&lt;=200),'Operating numbers'!D22,IF(AND(Results!B12&gt;200,Results!B12&lt;=375),AVERAGE('Operating numbers'!E22,'Operating numbers'!F22),IF(AND(Results!B12&gt;375,Results!B12&lt;=625),'Operating numbers'!G22,IF(AND(Results!B12&gt;625,Results!B12&lt;=875),'Operating numbers'!H22,AVERAGE('Operating numbers'!I22,'Operating numbers'!J22)))))),0)</f>
        <v>18116</v>
      </c>
      <c r="C24" s="66" t="s">
        <v>16</v>
      </c>
    </row>
    <row r="25" spans="1:3" x14ac:dyDescent="0.25">
      <c r="A25" s="60" t="s">
        <v>107</v>
      </c>
      <c r="B25" s="70">
        <f>-PMT('Operating numbers'!C112/100,'Operating numbers'!C110,B19,-B19*'Operating numbers'!C111/100,0)</f>
        <v>440547.14786975889</v>
      </c>
      <c r="C25" s="66" t="s">
        <v>16</v>
      </c>
    </row>
    <row r="26" spans="1:3" x14ac:dyDescent="0.25">
      <c r="A26" s="60" t="s">
        <v>408</v>
      </c>
      <c r="B26" s="70">
        <f>SUM(B21:B25)</f>
        <v>586745.52690076921</v>
      </c>
      <c r="C26" s="66" t="s">
        <v>16</v>
      </c>
    </row>
    <row r="27" spans="1:3" x14ac:dyDescent="0.25">
      <c r="A27" s="17"/>
      <c r="B27" s="117"/>
      <c r="C27" s="65"/>
    </row>
    <row r="28" spans="1:3" x14ac:dyDescent="0.25">
      <c r="A28" s="60" t="s">
        <v>292</v>
      </c>
      <c r="B28" s="70">
        <f>'Biogas yields'!L73</f>
        <v>106800</v>
      </c>
      <c r="C28" s="66" t="s">
        <v>16</v>
      </c>
    </row>
    <row r="29" spans="1:3" x14ac:dyDescent="0.25">
      <c r="A29" s="17"/>
      <c r="B29" s="118"/>
      <c r="C29" s="65"/>
    </row>
    <row r="30" spans="1:3" x14ac:dyDescent="0.25">
      <c r="A30" s="60" t="s">
        <v>306</v>
      </c>
      <c r="B30" s="70">
        <f>B26-B28</f>
        <v>479945.52690076921</v>
      </c>
      <c r="C30" s="66" t="s">
        <v>16</v>
      </c>
    </row>
    <row r="31" spans="1:3" x14ac:dyDescent="0.25">
      <c r="A31" s="17"/>
      <c r="B31" s="117"/>
      <c r="C31" s="65"/>
    </row>
    <row r="32" spans="1:3" x14ac:dyDescent="0.25">
      <c r="A32" s="220" t="s">
        <v>412</v>
      </c>
      <c r="B32" s="69">
        <f>B30/B8</f>
        <v>0.31451214082619217</v>
      </c>
      <c r="C32" s="66" t="s">
        <v>435</v>
      </c>
    </row>
    <row r="33" spans="1:6" x14ac:dyDescent="0.25">
      <c r="A33" s="220"/>
      <c r="B33" s="70">
        <f>B32/((B10/100*'Operating numbers'!C105)/1000)</f>
        <v>51.046582964533364</v>
      </c>
      <c r="C33" s="66" t="s">
        <v>23</v>
      </c>
    </row>
    <row r="34" spans="1:6" x14ac:dyDescent="0.25">
      <c r="D34" s="11"/>
    </row>
    <row r="35" spans="1:6" ht="18.75" x14ac:dyDescent="0.3">
      <c r="A35" s="4" t="s">
        <v>41</v>
      </c>
      <c r="D35" s="11"/>
    </row>
    <row r="36" spans="1:6" s="6" customFormat="1" x14ac:dyDescent="0.25">
      <c r="D36" s="90"/>
    </row>
    <row r="37" spans="1:6" x14ac:dyDescent="0.25">
      <c r="A37" s="38" t="s">
        <v>295</v>
      </c>
      <c r="D37" s="11"/>
      <c r="F37" s="8"/>
    </row>
    <row r="38" spans="1:6" x14ac:dyDescent="0.25">
      <c r="A38" s="60" t="s">
        <v>119</v>
      </c>
      <c r="B38" s="236" t="str">
        <f>IF('Input data'!B22=1,"Pressure swing adsorption",IF('Input data'!B22=2,"Pressurized water scrubbing",IF('Input data'!B22=3,"Amine scrubbing",IF('Input data'!B22=4,"Membrane separation","-"))))</f>
        <v>Pressurized water scrubbing</v>
      </c>
      <c r="C38" s="236"/>
    </row>
    <row r="39" spans="1:6" x14ac:dyDescent="0.25">
      <c r="A39" s="60" t="s">
        <v>117</v>
      </c>
      <c r="B39" s="70">
        <f>IF('Input data'!B19&lt;0,0,IF('Input data'!B19&gt;100,8760,8760*'Input data'!B19/100))</f>
        <v>8584.7999999999993</v>
      </c>
      <c r="C39" s="66" t="s">
        <v>21</v>
      </c>
    </row>
    <row r="40" spans="1:6" x14ac:dyDescent="0.25">
      <c r="A40" s="60" t="s">
        <v>118</v>
      </c>
      <c r="B40" s="70">
        <f>B8/8760</f>
        <v>174.20091324200914</v>
      </c>
      <c r="C40" s="66" t="s">
        <v>430</v>
      </c>
    </row>
    <row r="41" spans="1:6" x14ac:dyDescent="0.25">
      <c r="A41" s="60" t="s">
        <v>413</v>
      </c>
      <c r="B41" s="70">
        <f>B8*'Input data'!B17/100/8760</f>
        <v>156.78082191780823</v>
      </c>
      <c r="C41" s="66" t="s">
        <v>430</v>
      </c>
    </row>
    <row r="42" spans="1:6" x14ac:dyDescent="0.25">
      <c r="A42" s="60" t="s">
        <v>120</v>
      </c>
      <c r="B42" s="70">
        <f>IF(B38&lt;&gt;"-",B41*B10/100,0)</f>
        <v>96.887671232876727</v>
      </c>
      <c r="C42" s="66" t="s">
        <v>430</v>
      </c>
    </row>
    <row r="43" spans="1:6" x14ac:dyDescent="0.25">
      <c r="A43" s="60" t="s">
        <v>121</v>
      </c>
      <c r="B43" s="70">
        <f>B42*B39</f>
        <v>831761.28</v>
      </c>
      <c r="C43" s="66" t="s">
        <v>100</v>
      </c>
    </row>
    <row r="44" spans="1:6" x14ac:dyDescent="0.25">
      <c r="A44" s="13"/>
      <c r="B44" s="88"/>
      <c r="C44" s="85"/>
    </row>
    <row r="45" spans="1:6" x14ac:dyDescent="0.25">
      <c r="A45" s="89" t="s">
        <v>296</v>
      </c>
      <c r="B45" s="86"/>
      <c r="C45" s="87"/>
    </row>
    <row r="46" spans="1:6" x14ac:dyDescent="0.25">
      <c r="A46" s="60" t="s">
        <v>102</v>
      </c>
      <c r="B46" s="70">
        <f>IF('Input data'!B27="Y",IF(AND('Input data'!B22=1,Results!B41&lt;=125),Results!B41*'Operating numbers'!C37,IF(AND('Input data'!B22=1,Results!B41&gt;125,Results!B41&lt;=175),Results!B41*'Operating numbers'!D37,IF(AND('Input data'!B22=1,Results!B41&gt;175,Results!B41&lt;=225),Results!B41*'Operating numbers'!E37,IF(AND('Input data'!B22=1,Results!B41&gt;225,Results!B41&lt;=275),Results!B41*'Operating numbers'!F37,IF(AND('Input data'!B22=1,Results!B41&gt;275,Results!B41&lt;=325),Results!B41*'Operating numbers'!G37,IF(AND('Input data'!B22=1,Results!B41&gt;325,Results!B41&lt;=375),Results!B41*'Operating numbers'!H37,IF(AND('Input data'!B22=1,Results!B41&gt;375,Results!B41&lt;=450),Results!B41*'Operating numbers'!I37,IF(AND('Input data'!B22=1,Results!B41&gt;450,Results!B41&lt;=550),Results!B41*'Operating numbers'!J37,IF(AND('Input data'!B22=1,Results!B41&gt;550,Results!B41&lt;=650),Results!B41*'Operating numbers'!K37,IF(AND('Input data'!B22=1,Results!B41&gt;650,Results!B41&lt;=750),Results!B41*'Operating numbers'!L37,IF(AND('Input data'!B22=1,Results!B41&gt;750,Results!B41&lt;=850),Results!B41*'Operating numbers'!M37,IF(AND('Input data'!B22=1,Results!B41&gt;850,Results!B41&lt;=950),Results!B41*'Operating numbers'!N37,IF(AND('Input data'!B22=1,Results!B41&gt;950),Results!B41*'Operating numbers'!O37,IF(AND('Input data'!B22=2,Results!B41&lt;=125),Results!B41*'Operating numbers'!C42,IF(AND('Input data'!B22=2,Results!B41&gt;125,Results!B41&lt;=175),Results!B41*'Operating numbers'!D42,IF(AND('Input data'!B22=2,Results!B41&gt;175,Results!B41&lt;=225),Results!B41*'Operating numbers'!E42,IF(AND('Input data'!B22=2,Results!B41&gt;225,Results!B41&lt;=275),Results!B41*'Operating numbers'!F42,IF(AND('Input data'!B22=2,Results!B41&gt;275,Results!B41&lt;=325),Results!B41*'Operating numbers'!G42,IF(AND('Input data'!B22=2,Results!B41&gt;325,Results!B41&lt;=375),Results!B41*'Operating numbers'!H42,IF(AND('Input data'!B22=2,Results!B41&gt;375,Results!B41&lt;=450),Results!B41*'Operating numbers'!I42,IF(AND('Input data'!B22=2,Results!B41&gt;450,Results!B41&lt;=550),Results!B41*'Operating numbers'!J42,IF(AND('Input data'!B22=2,Results!B41&gt;550,Results!B41&lt;=650),Results!B41*'Operating numbers'!K42,IF(AND('Input data'!B22=2,Results!B41&gt;650,Results!B41&lt;=750),Results!B41*'Operating numbers'!L42,IF(AND('Input data'!B22=2,Results!B41&gt;750,Results!B41&lt;=850),Results!B41*'Operating numbers'!M42,IF(AND('Input data'!B22=2,Results!B41&gt;850,Results!B41&lt;=950),Results!B41*'Operating numbers'!N42,IF(AND('Input data'!B22=2,Results!B41&gt;950),Results!B41*'Operating numbers'!O42,IF(AND('Input data'!B22=3,Results!B41&lt;=125),Results!B41*'Operating numbers'!C47,IF(AND('Input data'!B22=3,Results!B41&gt;125,Results!B41&lt;=175),Results!B41*'Operating numbers'!D47,IF(AND('Input data'!B22=3,Results!B41&gt;175,Results!B41&lt;=225),Results!B41*'Operating numbers'!E47,IF(AND('Input data'!B22=3,Results!B41&gt;225,Results!B41&lt;=275),Results!B41*'Operating numbers'!F47,IF(AND('Input data'!B22=3,Results!B41&gt;275,Results!B41&lt;=325),Results!B41*'Operating numbers'!G47,IF(AND('Input data'!B22=3,Results!B41&gt;325,Results!B41&lt;=375),Results!B41*'Operating numbers'!H47,IF(AND('Input data'!B22=3,Results!B41&gt;375,Results!B41&lt;=450),Results!B41*'Operating numbers'!I47,IF(AND('Input data'!B22=3,Results!B41&gt;450,Results!B41&lt;=550),Results!B41*'Operating numbers'!J47,IF(AND('Input data'!B22=3,Results!B41&gt;550,Results!B41&lt;=650),Results!B41*'Operating numbers'!K47,IF(AND('Input data'!B22=3,Results!B41&gt;650,Results!B41&lt;=750),Results!B41*'Operating numbers'!L47,IF(AND('Input data'!B22=3,Results!B41&gt;750,Results!B41&lt;=850),Results!B41*'Operating numbers'!M47,IF(AND('Input data'!B22=3,Results!B41&gt;850,Results!B41&lt;=950),Results!B41*'Operating numbers'!N47,IF(AND('Input data'!B22=3,Results!B41&gt;950),Results!B41*'Operating numbers'!O47,IF(AND('Input data'!B22=4,Results!B41&lt;=125),Results!B41*'Operating numbers'!C52,IF(AND('Input data'!B22=4,Results!B41&gt;125,Results!B41&lt;=175),Results!B41*'Operating numbers'!D52,IF(AND('Input data'!B22=4,Results!B41&gt;175,Results!B41&lt;=225),Results!B41*'Operating numbers'!E52,IF(AND('Input data'!B22=4,Results!B41&gt;225,Results!B41&lt;=275),Results!B41*'Operating numbers'!F52,IF(AND('Input data'!B22=4,Results!B41&gt;275,Results!B41&lt;=325),Results!B41*'Operating numbers'!G52,IF(AND('Input data'!B22=4,Results!B41&gt;325,Results!B41&lt;=375),Results!B41*'Operating numbers'!H52,IF(AND('Input data'!B22=4,Results!B41&gt;375,Results!B41&lt;=450),Results!B41*'Operating numbers'!I52,IF(AND('Input data'!B22=4,Results!B41&gt;450,Results!B41&lt;=550),Results!B41*'Operating numbers'!J52,IF(AND('Input data'!B22=4,Results!B41&gt;550,Results!B41&lt;=650),Results!B41*'Operating numbers'!K52,IF(AND('Input data'!B22=4,Results!B41&gt;650,Results!B41&lt;=750),Results!B41*'Operating numbers'!L52,IF(AND('Input data'!B22=4,Results!B41&gt;750,Results!B41&lt;=850),Results!B41*'Operating numbers'!M52,IF(AND('Input data'!B22=4,Results!B41&gt;850,Results!B41&lt;=950),Results!B41*'Operating numbers'!N52,IF(AND('Input data'!B22=4,Results!B41&gt;950),Results!B41*'Operating numbers'!O52,0)))))))))))))))))))))))))))))))))))))))))))))))))))),0)</f>
        <v>931399.3260273973</v>
      </c>
      <c r="C46" s="66" t="s">
        <v>18</v>
      </c>
    </row>
    <row r="47" spans="1:6" x14ac:dyDescent="0.25">
      <c r="A47" s="60" t="s">
        <v>403</v>
      </c>
      <c r="B47" s="70">
        <f>IF('Input data'!B27="Y",'Input data'!B72,0)</f>
        <v>50000</v>
      </c>
      <c r="C47" s="66" t="s">
        <v>18</v>
      </c>
    </row>
    <row r="48" spans="1:6" x14ac:dyDescent="0.25">
      <c r="A48" s="60" t="s">
        <v>104</v>
      </c>
      <c r="B48" s="70">
        <f>B46-B47</f>
        <v>881399.3260273973</v>
      </c>
      <c r="C48" s="66" t="s">
        <v>18</v>
      </c>
    </row>
    <row r="49" spans="1:3" x14ac:dyDescent="0.25">
      <c r="A49" s="17"/>
      <c r="B49" s="117"/>
      <c r="C49" s="65"/>
    </row>
    <row r="50" spans="1:3" x14ac:dyDescent="0.25">
      <c r="A50" s="60" t="s">
        <v>107</v>
      </c>
      <c r="B50" s="70">
        <f>-PMT('Operating numbers'!C116/100,'Operating numbers'!C114,Results!B48,-Results!B48*'Operating numbers'!C115/100,0)</f>
        <v>80831.42126019008</v>
      </c>
      <c r="C50" s="66" t="s">
        <v>16</v>
      </c>
    </row>
    <row r="51" spans="1:3" x14ac:dyDescent="0.25">
      <c r="A51" s="60" t="s">
        <v>122</v>
      </c>
      <c r="B51" s="70">
        <f>IF('Input data'!B28="Y",IF(AND('Input data'!B22=1,Results!B41&lt;=125),Results!B41*'Operating numbers'!C39,IF(AND('Input data'!B22=1,Results!B41&gt;125,Results!B41&lt;=175),Results!B41*'Operating numbers'!D39,IF(AND('Input data'!B22=1,Results!B41&gt;175,Results!B41&lt;=225),Results!B41*'Operating numbers'!E39,IF(AND('Input data'!B22=1,Results!B41&gt;225,Results!B41&lt;=275),Results!B41*'Operating numbers'!F39,IF(AND('Input data'!B22=1,Results!B41&gt;275,Results!B41&lt;=325),Results!B41*'Operating numbers'!G39,IF(AND('Input data'!B22=1,Results!B41&gt;325,Results!B41&lt;=375),Results!B41*'Operating numbers'!H39,IF(AND('Input data'!B22=1,Results!B41&gt;375,Results!B41&lt;=450),Results!B41*'Operating numbers'!I39,IF(AND('Input data'!B22=1,Results!B41&gt;450,Results!B41&lt;=550),Results!B41*'Operating numbers'!J39,IF(AND('Input data'!B22=1,Results!B41&gt;550,Results!B41&lt;=650),Results!B41*'Operating numbers'!K39,IF(AND('Input data'!B22=1,Results!B41&gt;650,Results!B41&lt;=750),Results!B41*'Operating numbers'!L39,IF(AND('Input data'!B22=1,Results!B41&gt;750,Results!B41&lt;=850),Results!B41*'Operating numbers'!M39,IF(AND('Input data'!B22=1,Results!B41&gt;850,Results!B41&lt;=950),Results!B41*'Operating numbers'!N39,IF(AND('Input data'!B22=1,Results!B41&gt;950),Results!B41*'Operating numbers'!O39,IF(AND('Input data'!B22=2,Results!B41&lt;=125),Results!B41*'Operating numbers'!C44,IF(AND('Input data'!B22=2,Results!B41&gt;125,Results!B41&lt;=175),Results!B41*'Operating numbers'!D44,IF(AND('Input data'!B22=2,Results!B41&gt;175,Results!B41&lt;=225),Results!B41*'Operating numbers'!E44,IF(AND('Input data'!B22=2,Results!B41&gt;225,Results!B41&lt;=275),Results!B41*'Operating numbers'!F44,IF(AND('Input data'!B22=2,Results!B41&gt;275,Results!B41&lt;=325),Results!B41*'Operating numbers'!G44,IF(AND('Input data'!B22=2,Results!B41&gt;325,Results!B41&lt;=375),Results!B41*'Operating numbers'!H44,IF(AND('Input data'!B22=2,Results!B41&gt;375,Results!B41&lt;=450),Results!B41*'Operating numbers'!I44,IF(AND('Input data'!B22=2,Results!B41&gt;450,Results!B41&lt;=550),Results!B41*'Operating numbers'!J44,IF(AND('Input data'!B22=2,Results!B41&gt;550,Results!B41&lt;=650),Results!B41*'Operating numbers'!K44,IF(AND('Input data'!B22=2,Results!B41&gt;650,Results!B41&lt;=750),Results!B41*'Operating numbers'!L44,IF(AND('Input data'!B22=2,Results!B41&gt;750,Results!B41&lt;=850),Results!B41*'Operating numbers'!M44,IF(AND('Input data'!B22=2,Results!B41&gt;850,Results!B41&lt;=950),Results!B41*'Operating numbers'!N44,IF(AND('Input data'!B22=2,Results!B41&gt;950),Results!B41*'Operating numbers'!O44,IF(AND('Input data'!B22=3,Results!B41&lt;=125),Results!B41*'Operating numbers'!C49,IF(AND('Input data'!B22=3,Results!B41&gt;125,Results!B41&lt;=175),Results!B41*'Operating numbers'!D49,IF(AND('Input data'!B22=3,Results!B41&gt;175,Results!B41&lt;=225),Results!B41*'Operating numbers'!E49,IF(AND('Input data'!B22=3,Results!B41&gt;225,Results!B41&lt;=275),Results!B41*'Operating numbers'!F49,IF(AND('Input data'!B22=3,Results!B41&gt;275,Results!B41&lt;=325),Results!B41*'Operating numbers'!G49,IF(AND('Input data'!B22=3,Results!B41&gt;325,Results!B41&lt;=375),Results!B41*'Operating numbers'!H49,IF(AND('Input data'!B22=3,Results!B41&gt;375,Results!B41&lt;=450),Results!B41*'Operating numbers'!I49,IF(AND('Input data'!B22=3,Results!B41&gt;450,Results!B41&lt;=550),Results!B41*'Operating numbers'!J49,IF(AND('Input data'!B22=3,Results!B41&gt;550,Results!B41&lt;=650),Results!B41*'Operating numbers'!K49,IF(AND('Input data'!B22=3,Results!B41&gt;650,Results!B41&lt;=750),Results!B41*'Operating numbers'!L49,IF(AND('Input data'!B22=3,Results!B41&gt;750,Results!B41&lt;=850),Results!B41*'Operating numbers'!M49,IF(AND('Input data'!B22=3,Results!B41&gt;850,Results!B41&lt;=950),Results!B41*'Operating numbers'!N49,IF(AND('Input data'!B22=3,Results!B41&gt;950),Results!B41*'Operating numbers'!O49,IF(AND('Input data'!B22=4,Results!B41&lt;=125),Results!B41*'Operating numbers'!C54,IF(AND('Input data'!B22=4,Results!B41&gt;125,Results!B41&lt;=175),Results!B41*'Operating numbers'!D54,IF(AND('Input data'!B22=4,Results!B41&gt;175,Results!B41&lt;=225),Results!B41*'Operating numbers'!E54,IF(AND('Input data'!B22=4,Results!B41&gt;225,Results!B41&lt;=275),Results!B41*'Operating numbers'!F54,IF(AND('Input data'!B22=4,Results!B41&gt;275,Results!B41&lt;=325),Results!B41*'Operating numbers'!G54,IF(AND('Input data'!B22=4,Results!B41&gt;325,Results!B41&lt;=375),Results!B41*'Operating numbers'!H54,IF(AND('Input data'!B22=4,Results!B41&gt;375,Results!B41&lt;=450),Results!B41*'Operating numbers'!I54,IF(AND('Input data'!B22=4,Results!B41&gt;450,Results!B41&lt;=550),Results!B41*'Operating numbers'!J54,IF(AND('Input data'!B22=4,Results!B41&gt;550,Results!B41&lt;=650),Results!B41*'Operating numbers'!K54,IF(AND('Input data'!B22=4,Results!B41&gt;650,Results!B41&lt;=750),Results!B41*'Operating numbers'!L54,IF(AND('Input data'!B22=4,Results!B41&gt;750,Results!B41&lt;=850),Results!B41*'Operating numbers'!M54,IF(AND('Input data'!B22=4,Results!B41&gt;850,Results!B41&lt;=950),Results!B41*'Operating numbers'!N54,IF(AND('Input data'!B22=4,Results!B41&gt;950),Results!B41*'Operating numbers'!O54,0)))))))))))))))))))))))))))))))))))))))))))))))))))),0)</f>
        <v>103184.77534246576</v>
      </c>
      <c r="C51" s="66" t="s">
        <v>16</v>
      </c>
    </row>
    <row r="52" spans="1:3" x14ac:dyDescent="0.25">
      <c r="A52" s="60" t="s">
        <v>123</v>
      </c>
      <c r="B52" s="70">
        <f>IF(AND(B38&lt;&gt;"-",'Input data'!B18="Y"),(Results!B8*'Input data'!B17/100)*'Operating numbers'!C60,0)</f>
        <v>20601</v>
      </c>
      <c r="C52" s="66" t="s">
        <v>16</v>
      </c>
    </row>
    <row r="53" spans="1:3" x14ac:dyDescent="0.25">
      <c r="A53" s="60" t="s">
        <v>408</v>
      </c>
      <c r="B53" s="70">
        <f>IF(B38&lt;&gt;"-",B50+B51+B52,0)</f>
        <v>204617.19660265584</v>
      </c>
      <c r="C53" s="66" t="s">
        <v>16</v>
      </c>
    </row>
    <row r="54" spans="1:3" x14ac:dyDescent="0.25">
      <c r="A54" s="17"/>
      <c r="B54" s="117"/>
      <c r="C54" s="65"/>
    </row>
    <row r="55" spans="1:3" x14ac:dyDescent="0.25">
      <c r="A55" s="235" t="s">
        <v>411</v>
      </c>
      <c r="B55" s="69">
        <f>B53/B43+B32*((B8*'Input data'!B17/100)/B43)</f>
        <v>0.76532556410097397</v>
      </c>
      <c r="C55" s="66" t="s">
        <v>435</v>
      </c>
    </row>
    <row r="56" spans="1:3" x14ac:dyDescent="0.25">
      <c r="A56" s="235"/>
      <c r="B56" s="70">
        <f>B55/('Operating numbers'!C105/1000)</f>
        <v>76.762844944932183</v>
      </c>
      <c r="C56" s="66" t="s">
        <v>23</v>
      </c>
    </row>
    <row r="57" spans="1:3" x14ac:dyDescent="0.25">
      <c r="A57" s="140"/>
      <c r="B57" s="142"/>
      <c r="C57" s="141"/>
    </row>
    <row r="58" spans="1:3" ht="18.75" x14ac:dyDescent="0.3">
      <c r="A58" s="4" t="s">
        <v>328</v>
      </c>
      <c r="B58" s="142"/>
      <c r="C58" s="141"/>
    </row>
    <row r="59" spans="1:3" ht="18.75" x14ac:dyDescent="0.3">
      <c r="A59" s="4"/>
      <c r="B59" s="142"/>
      <c r="C59" s="141"/>
    </row>
    <row r="60" spans="1:3" x14ac:dyDescent="0.25">
      <c r="A60" s="166" t="s">
        <v>295</v>
      </c>
      <c r="B60" s="142"/>
      <c r="C60" s="141"/>
    </row>
    <row r="61" spans="1:3" ht="30" x14ac:dyDescent="0.25">
      <c r="A61" s="93" t="s">
        <v>349</v>
      </c>
      <c r="B61" s="81">
        <f>B43*'Input data'!B32/100</f>
        <v>166352.25600000002</v>
      </c>
      <c r="C61" s="94" t="s">
        <v>100</v>
      </c>
    </row>
    <row r="62" spans="1:3" x14ac:dyDescent="0.25">
      <c r="A62" s="93" t="s">
        <v>347</v>
      </c>
      <c r="B62" s="165">
        <f>IF('Input data'!B32&gt;0,B61/'Input data'!B39,0)</f>
        <v>72.32706782608696</v>
      </c>
      <c r="C62" s="92" t="s">
        <v>348</v>
      </c>
    </row>
    <row r="63" spans="1:3" x14ac:dyDescent="0.25">
      <c r="A63" s="93" t="s">
        <v>350</v>
      </c>
      <c r="B63" s="165">
        <f>IF('Input data'!B32&gt;0,2*B62*'Input data'!B41,0)</f>
        <v>2893.0827130434782</v>
      </c>
      <c r="C63" s="92" t="s">
        <v>351</v>
      </c>
    </row>
    <row r="64" spans="1:3" x14ac:dyDescent="0.25">
      <c r="A64" s="140"/>
      <c r="B64" s="163"/>
      <c r="C64" s="141"/>
    </row>
    <row r="65" spans="1:4" x14ac:dyDescent="0.25">
      <c r="A65" s="166" t="s">
        <v>353</v>
      </c>
      <c r="B65" s="163"/>
      <c r="C65" s="141"/>
    </row>
    <row r="66" spans="1:4" x14ac:dyDescent="0.25">
      <c r="A66" s="60" t="s">
        <v>102</v>
      </c>
      <c r="B66" s="165">
        <f>IF(AND('Input data'!B45="Y",'Input data'!B32&gt;0),'Input data'!B40*'Input data'!B43,0)</f>
        <v>240000</v>
      </c>
      <c r="C66" s="92" t="s">
        <v>18</v>
      </c>
    </row>
    <row r="67" spans="1:4" x14ac:dyDescent="0.25">
      <c r="A67" s="60" t="s">
        <v>403</v>
      </c>
      <c r="B67" s="165">
        <f>IF(AND('Input data'!B45="Y",'Input data'!B32&gt;0),'Input data'!B40*'Input data'!B73,0)</f>
        <v>30000</v>
      </c>
      <c r="C67" s="92" t="s">
        <v>18</v>
      </c>
    </row>
    <row r="68" spans="1:4" x14ac:dyDescent="0.25">
      <c r="A68" s="60" t="s">
        <v>104</v>
      </c>
      <c r="B68" s="70">
        <f>B66-B67</f>
        <v>210000</v>
      </c>
      <c r="C68" s="92" t="s">
        <v>18</v>
      </c>
    </row>
    <row r="69" spans="1:4" x14ac:dyDescent="0.25">
      <c r="A69" s="140"/>
      <c r="B69" s="163"/>
      <c r="C69" s="141"/>
    </row>
    <row r="70" spans="1:4" x14ac:dyDescent="0.25">
      <c r="A70" s="93" t="s">
        <v>352</v>
      </c>
      <c r="B70" s="70">
        <f>IF('Input data'!B46="Y",B63*'Input data'!B42,0)</f>
        <v>7232.706782608695</v>
      </c>
      <c r="C70" s="92" t="s">
        <v>16</v>
      </c>
    </row>
    <row r="71" spans="1:4" x14ac:dyDescent="0.25">
      <c r="A71" s="93" t="s">
        <v>107</v>
      </c>
      <c r="B71" s="167">
        <f>-PMT('Operating numbers'!C120/100,'Operating numbers'!C118,B68,-B66*'Operating numbers'!C119/100,0)</f>
        <v>19119.665495319452</v>
      </c>
      <c r="C71" s="92" t="s">
        <v>16</v>
      </c>
    </row>
    <row r="72" spans="1:4" x14ac:dyDescent="0.25">
      <c r="A72" s="93" t="s">
        <v>408</v>
      </c>
      <c r="B72" s="70">
        <f>B71+B70</f>
        <v>26352.372277928145</v>
      </c>
      <c r="C72" s="92" t="s">
        <v>16</v>
      </c>
    </row>
    <row r="73" spans="1:4" x14ac:dyDescent="0.25">
      <c r="A73" s="140"/>
      <c r="B73" s="142"/>
      <c r="C73" s="141"/>
    </row>
    <row r="74" spans="1:4" x14ac:dyDescent="0.25">
      <c r="A74" s="235" t="s">
        <v>410</v>
      </c>
      <c r="B74" s="180">
        <f>IF('Input data'!B32&gt;0,B72/B61+B55,"-")</f>
        <v>0.92373863833020553</v>
      </c>
      <c r="C74" s="92" t="s">
        <v>435</v>
      </c>
    </row>
    <row r="75" spans="1:4" x14ac:dyDescent="0.25">
      <c r="A75" s="235"/>
      <c r="B75" s="165">
        <f>IF('Input data'!B32&gt;0,B74/('Operating numbers'!C105/1000),"-")</f>
        <v>92.651819290893215</v>
      </c>
      <c r="C75" s="92" t="s">
        <v>23</v>
      </c>
    </row>
    <row r="76" spans="1:4" x14ac:dyDescent="0.25">
      <c r="A76" s="140"/>
      <c r="B76" s="142"/>
      <c r="C76" s="141"/>
    </row>
    <row r="77" spans="1:4" ht="18.75" x14ac:dyDescent="0.3">
      <c r="A77" s="4" t="s">
        <v>124</v>
      </c>
      <c r="D77" s="11"/>
    </row>
    <row r="78" spans="1:4" x14ac:dyDescent="0.25">
      <c r="A78" s="6"/>
      <c r="D78" s="11"/>
    </row>
    <row r="79" spans="1:4" x14ac:dyDescent="0.25">
      <c r="A79" s="166" t="s">
        <v>295</v>
      </c>
      <c r="B79" s="142"/>
      <c r="C79" s="141"/>
      <c r="D79" s="11"/>
    </row>
    <row r="80" spans="1:4" ht="30" x14ac:dyDescent="0.25">
      <c r="A80" s="93" t="s">
        <v>357</v>
      </c>
      <c r="B80" s="81">
        <f>B43*'Input data'!B33/100</f>
        <v>415880.64</v>
      </c>
      <c r="C80" s="94" t="s">
        <v>100</v>
      </c>
      <c r="D80" s="11"/>
    </row>
    <row r="81" spans="1:9" x14ac:dyDescent="0.25">
      <c r="A81" s="170"/>
      <c r="B81" s="174"/>
      <c r="C81" s="171"/>
      <c r="D81" s="11"/>
    </row>
    <row r="82" spans="1:9" x14ac:dyDescent="0.25">
      <c r="A82" s="175" t="s">
        <v>356</v>
      </c>
      <c r="B82" s="172"/>
      <c r="C82" s="173"/>
      <c r="D82" s="11"/>
    </row>
    <row r="83" spans="1:9" x14ac:dyDescent="0.25">
      <c r="A83" s="60" t="s">
        <v>126</v>
      </c>
      <c r="B83" s="70">
        <f>IF(AND('Input data'!B53="Y",'Input data'!B33&gt;0),'Input data'!B50*'Operating numbers'!C59,0)</f>
        <v>72000</v>
      </c>
      <c r="C83" s="66" t="s">
        <v>18</v>
      </c>
    </row>
    <row r="84" spans="1:9" x14ac:dyDescent="0.25">
      <c r="A84" s="64" t="s">
        <v>127</v>
      </c>
      <c r="B84" s="81">
        <f>IF(AND('Input data'!B54="Y",'Input data'!B33&gt;0),'Operating numbers'!C61,0)</f>
        <v>70000</v>
      </c>
      <c r="C84" s="82" t="s">
        <v>18</v>
      </c>
    </row>
    <row r="85" spans="1:9" x14ac:dyDescent="0.25">
      <c r="A85" s="60" t="s">
        <v>403</v>
      </c>
      <c r="B85" s="70">
        <f>IF(AND('Input data'!B53="Y",'Input data'!B33&gt;0),'Input data'!B74,0)</f>
        <v>20000</v>
      </c>
      <c r="C85" s="66" t="s">
        <v>18</v>
      </c>
    </row>
    <row r="86" spans="1:9" x14ac:dyDescent="0.25">
      <c r="A86" s="60" t="s">
        <v>104</v>
      </c>
      <c r="B86" s="70">
        <f>B84+B83-B85</f>
        <v>122000</v>
      </c>
      <c r="C86" s="66" t="s">
        <v>18</v>
      </c>
      <c r="F86" s="8"/>
    </row>
    <row r="87" spans="1:9" x14ac:dyDescent="0.25">
      <c r="A87" s="17"/>
      <c r="B87" s="117"/>
      <c r="C87" s="65"/>
      <c r="F87" s="8"/>
    </row>
    <row r="88" spans="1:9" ht="30" x14ac:dyDescent="0.25">
      <c r="A88" s="64" t="s">
        <v>128</v>
      </c>
      <c r="B88" s="81">
        <f>IF(AND('Input data'!B55="Y",'Input data'!B33&gt;0),SUM('Operating numbers'!C62:C64),0)</f>
        <v>9000</v>
      </c>
      <c r="C88" s="82" t="s">
        <v>16</v>
      </c>
    </row>
    <row r="89" spans="1:9" x14ac:dyDescent="0.25">
      <c r="A89" s="60" t="s">
        <v>129</v>
      </c>
      <c r="B89" s="70">
        <f>IF(AND('Input data'!B56="Y",'Input data'!B33&gt;0),IF(AND('Input data'!B51&gt;3.5,'Input data'!B51&lt;=7.5),('Operating numbers'!C68*Results!B43)*'Input data'!B70/100,IF(AND('Input data'!B51&gt;7.5,'Input data'!B51&lt;=15),('Operating numbers'!D68*Results!B43)*'Input data'!B70/100,IF(AND('Input data'!B51&gt;15,'Input data'!B51&lt;=25),('Operating numbers'!E68*Results!B43)*'Input data'!B70/100,IF(AND('Input data'!B51&gt;25,'Input data'!B51&lt;=35),('Operating numbers'!F68*Results!B43)*'Input data'!B70/100,IF(AND('Input data'!B51&gt;35,'Input data'!B51&lt;=45),('Operating numbers'!G68*Results!B43)*'Input data'!B70/100,IF(AND('Input data'!B51&gt;45,'Input data'!B51&lt;=55),('Operating numbers'!H68*Results!B43)*'Input data'!B70/100,IF('Input data'!B51&gt;55,('Operating numbers'!I68*Results!B43)*'Input data'!B70/100,0))))))),0)</f>
        <v>7693.791839999999</v>
      </c>
      <c r="C89" s="66" t="s">
        <v>16</v>
      </c>
      <c r="F89" s="2"/>
      <c r="G89" s="2"/>
      <c r="H89" s="2"/>
      <c r="I89" s="2"/>
    </row>
    <row r="90" spans="1:9" x14ac:dyDescent="0.25">
      <c r="A90" s="60" t="s">
        <v>107</v>
      </c>
      <c r="B90" s="70">
        <f>-PMT('Operating numbers'!C124/100,'Operating numbers'!C122,Results!B86,-Results!B86*'Operating numbers'!C123/100,0)</f>
        <v>11188.383179495031</v>
      </c>
      <c r="C90" s="66" t="s">
        <v>16</v>
      </c>
      <c r="F90" s="2"/>
      <c r="G90" s="2"/>
      <c r="H90" s="2"/>
      <c r="I90" s="2"/>
    </row>
    <row r="91" spans="1:9" x14ac:dyDescent="0.25">
      <c r="A91" s="60" t="s">
        <v>408</v>
      </c>
      <c r="B91" s="70">
        <f>B89+B88+B90</f>
        <v>27882.175019495029</v>
      </c>
      <c r="C91" s="66" t="s">
        <v>16</v>
      </c>
    </row>
    <row r="92" spans="1:9" x14ac:dyDescent="0.25">
      <c r="A92" s="17"/>
      <c r="B92" s="117"/>
      <c r="C92" s="65"/>
    </row>
    <row r="93" spans="1:9" x14ac:dyDescent="0.25">
      <c r="A93" s="235" t="s">
        <v>409</v>
      </c>
      <c r="B93" s="180">
        <f>IF('Input data'!B33&gt;0,B91/B80+B55,"-")</f>
        <v>0.83236925966587216</v>
      </c>
      <c r="C93" s="66" t="s">
        <v>435</v>
      </c>
    </row>
    <row r="94" spans="1:9" x14ac:dyDescent="0.25">
      <c r="A94" s="235"/>
      <c r="B94" s="165">
        <f>IF('Input data'!B33&gt;0,B93/('Operating numbers'!C105/1000),"-")</f>
        <v>83.48738813098015</v>
      </c>
      <c r="C94" s="66" t="s">
        <v>23</v>
      </c>
    </row>
    <row r="95" spans="1:9" x14ac:dyDescent="0.25">
      <c r="A95" s="140"/>
      <c r="B95" s="142"/>
      <c r="C95" s="141"/>
    </row>
    <row r="96" spans="1:9" ht="18.75" x14ac:dyDescent="0.3">
      <c r="A96" s="4" t="s">
        <v>125</v>
      </c>
    </row>
    <row r="98" spans="1:5" x14ac:dyDescent="0.25">
      <c r="A98" s="166" t="s">
        <v>295</v>
      </c>
      <c r="B98" s="142"/>
      <c r="C98" s="141"/>
    </row>
    <row r="99" spans="1:5" ht="30" x14ac:dyDescent="0.25">
      <c r="A99" s="93" t="s">
        <v>360</v>
      </c>
      <c r="B99" s="81">
        <f>B43*'Input data'!B34/100</f>
        <v>249528.38400000002</v>
      </c>
      <c r="C99" s="94" t="s">
        <v>100</v>
      </c>
    </row>
    <row r="100" spans="1:5" x14ac:dyDescent="0.25">
      <c r="A100" s="170"/>
      <c r="B100" s="174"/>
      <c r="C100" s="171"/>
    </row>
    <row r="101" spans="1:5" x14ac:dyDescent="0.25">
      <c r="A101" s="175" t="s">
        <v>355</v>
      </c>
      <c r="B101" s="172"/>
      <c r="C101" s="173"/>
    </row>
    <row r="102" spans="1:5" x14ac:dyDescent="0.25">
      <c r="A102" s="60" t="s">
        <v>130</v>
      </c>
      <c r="B102" s="70">
        <f>IF(AND('Input data'!B64="Y",'Input data'!B34&gt;0),IF(AND('Input data'!B60&gt;0,'Input data'!B60&lt;=100),'Input data'!B60*'Operating numbers'!C80,IF(AND('Input data'!B60&gt;100,'Input data'!B60&lt;=225),'Input data'!B60*'Operating numbers'!D80,IF(AND('Input data'!B60&gt;225,'Input data'!B60&lt;=400),'Input data'!B60*'Operating numbers'!E80,IF('Input data'!B60&gt;400,'Input data'!B60*'Operating numbers'!F80,0)))),0)</f>
        <v>227000</v>
      </c>
      <c r="C102" s="66" t="s">
        <v>18</v>
      </c>
    </row>
    <row r="103" spans="1:5" x14ac:dyDescent="0.25">
      <c r="A103" s="60" t="s">
        <v>126</v>
      </c>
      <c r="B103" s="84">
        <f>IF(AND('Input data'!B65="Y",'Input data'!B34&gt;0),IF(AND('Input data'!B60&gt;0,'Input data'!B60&lt;=100),'Input data'!B62*'Operating numbers'!C87/1000,IF(AND('Input data'!B60&gt;100,'Input data'!B60&lt;=225),'Input data'!B62*'Operating numbers'!D87/1000,IF(AND('Input data'!B60&gt;225,'Input data'!B60&lt;=400),'Input data'!B62*'Operating numbers'!E87/1000,IF('Input data'!B60&gt;400,'Input data'!B62*'Operating numbers'!F87/1000,0)))),0)</f>
        <v>60000</v>
      </c>
      <c r="C103" s="66" t="s">
        <v>18</v>
      </c>
    </row>
    <row r="104" spans="1:5" x14ac:dyDescent="0.25">
      <c r="A104" s="60" t="s">
        <v>403</v>
      </c>
      <c r="B104" s="70">
        <f>IF(AND('Input data'!B64="Y",'Input data'!B34&gt;0),'Input data'!B75,0)</f>
        <v>50000</v>
      </c>
      <c r="C104" s="66" t="s">
        <v>18</v>
      </c>
    </row>
    <row r="105" spans="1:5" x14ac:dyDescent="0.25">
      <c r="A105" s="60" t="s">
        <v>104</v>
      </c>
      <c r="B105" s="70">
        <f>B102+B103-B104</f>
        <v>237000</v>
      </c>
      <c r="C105" s="66" t="s">
        <v>18</v>
      </c>
    </row>
    <row r="106" spans="1:5" x14ac:dyDescent="0.25">
      <c r="A106" s="17"/>
      <c r="B106" s="117"/>
      <c r="C106" s="65"/>
    </row>
    <row r="107" spans="1:5" x14ac:dyDescent="0.25">
      <c r="A107" s="60" t="s">
        <v>131</v>
      </c>
      <c r="B107" s="70">
        <f>IF(AND('Input data'!B66="Y",'Input data'!B34&gt;0),'Operating numbers'!C100+('Operating numbers'!C99/100*('Input data'!B61*'Operating numbers'!C106))*'Input data'!B70/100,0)</f>
        <v>13582.547592622403</v>
      </c>
      <c r="C107" s="66" t="s">
        <v>16</v>
      </c>
    </row>
    <row r="108" spans="1:5" x14ac:dyDescent="0.25">
      <c r="A108" s="60" t="s">
        <v>107</v>
      </c>
      <c r="B108" s="70">
        <f>-PMT('Operating numbers'!C128/100,'Operating numbers'!C126,Results!B105,-Results!B105*'Operating numbers'!C127/100,0)</f>
        <v>21734.809947051825</v>
      </c>
      <c r="C108" s="66" t="s">
        <v>16</v>
      </c>
    </row>
    <row r="109" spans="1:5" x14ac:dyDescent="0.25">
      <c r="A109" s="60" t="s">
        <v>408</v>
      </c>
      <c r="B109" s="70">
        <f>B108+B107</f>
        <v>35317.357539674224</v>
      </c>
      <c r="C109" s="66" t="s">
        <v>16</v>
      </c>
    </row>
    <row r="110" spans="1:5" x14ac:dyDescent="0.25">
      <c r="A110" s="17"/>
      <c r="B110" s="17"/>
      <c r="C110" s="17"/>
    </row>
    <row r="111" spans="1:5" x14ac:dyDescent="0.25">
      <c r="A111" s="235" t="s">
        <v>415</v>
      </c>
      <c r="B111" s="181">
        <f>IF('Input data'!B34&gt;0,B109/B99+B55,"-")</f>
        <v>0.90686199764624242</v>
      </c>
      <c r="C111" s="66" t="s">
        <v>435</v>
      </c>
      <c r="E111" s="23"/>
    </row>
    <row r="112" spans="1:5" x14ac:dyDescent="0.25">
      <c r="A112" s="235"/>
      <c r="B112" s="182">
        <f>IF('Input data'!B34&gt;0,B111/('Operating numbers'!C105/1000),"-")</f>
        <v>90.959076995611056</v>
      </c>
      <c r="C112" s="66" t="s">
        <v>23</v>
      </c>
    </row>
  </sheetData>
  <sheetProtection algorithmName="SHA-512" hashValue="MbMlaeqNNbPKuKYI2q0k1KKeAR3ZfcHP04y6iW15ehA/0tp22o/mwhMj5s/ninr/PNJoPNsTWiEC8QnOckjW4Q==" saltValue="mgi/0doHKNluIt9ieaucwQ==" spinCount="100000" sheet="1" objects="1" scenarios="1"/>
  <mergeCells count="7">
    <mergeCell ref="B16:C16"/>
    <mergeCell ref="A111:A112"/>
    <mergeCell ref="A32:A33"/>
    <mergeCell ref="A55:A56"/>
    <mergeCell ref="B38:C38"/>
    <mergeCell ref="A93:A94"/>
    <mergeCell ref="A74:A75"/>
  </mergeCell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X56"/>
  <sheetViews>
    <sheetView showGridLines="0" zoomScaleNormal="100" workbookViewId="0"/>
  </sheetViews>
  <sheetFormatPr defaultColWidth="11.42578125" defaultRowHeight="15" x14ac:dyDescent="0.25"/>
  <cols>
    <col min="21" max="21" width="5.5703125" customWidth="1"/>
    <col min="22" max="22" width="5.28515625" customWidth="1"/>
    <col min="23" max="24" width="11.5703125" customWidth="1"/>
  </cols>
  <sheetData>
    <row r="2" spans="1:1" ht="21" x14ac:dyDescent="0.35">
      <c r="A2" s="9" t="s">
        <v>354</v>
      </c>
    </row>
    <row r="39" spans="2:24" ht="18.75" x14ac:dyDescent="0.3">
      <c r="B39" s="240" t="s">
        <v>314</v>
      </c>
      <c r="C39" s="240"/>
    </row>
    <row r="40" spans="2:24" x14ac:dyDescent="0.25">
      <c r="T40" s="136">
        <f>W42/R48</f>
        <v>0.2</v>
      </c>
      <c r="V40" s="237" t="s">
        <v>358</v>
      </c>
      <c r="W40" s="237"/>
      <c r="X40" s="237"/>
    </row>
    <row r="41" spans="2:24" x14ac:dyDescent="0.25">
      <c r="V41" s="237"/>
      <c r="W41" s="237"/>
      <c r="X41" s="237"/>
    </row>
    <row r="42" spans="2:24" x14ac:dyDescent="0.25">
      <c r="W42" s="132">
        <f>Results!B61</f>
        <v>166352.25600000002</v>
      </c>
      <c r="X42" s="133" t="s">
        <v>100</v>
      </c>
    </row>
    <row r="44" spans="2:24" x14ac:dyDescent="0.25">
      <c r="N44" s="239" t="str">
        <f>Results!B38</f>
        <v>Pressurized water scrubbing</v>
      </c>
      <c r="O44" s="239"/>
      <c r="P44" s="239"/>
      <c r="Q44" s="239"/>
    </row>
    <row r="45" spans="2:24" ht="14.45" customHeight="1" x14ac:dyDescent="0.25">
      <c r="K45" s="135">
        <f>L47/H47</f>
        <v>0.9</v>
      </c>
      <c r="Q45" s="135">
        <f>R47/L47</f>
        <v>0.61798165137614691</v>
      </c>
      <c r="T45" s="136">
        <f>W48/R48</f>
        <v>0.5</v>
      </c>
      <c r="W45" s="176"/>
      <c r="X45" s="176"/>
    </row>
    <row r="46" spans="2:24" x14ac:dyDescent="0.25">
      <c r="H46" s="238" t="s">
        <v>309</v>
      </c>
      <c r="I46" s="238"/>
      <c r="L46" s="238" t="s">
        <v>310</v>
      </c>
      <c r="M46" s="238"/>
      <c r="R46" s="238" t="s">
        <v>311</v>
      </c>
      <c r="S46" s="238"/>
      <c r="V46" s="237" t="s">
        <v>359</v>
      </c>
      <c r="W46" s="237"/>
      <c r="X46" s="237"/>
    </row>
    <row r="47" spans="2:24" x14ac:dyDescent="0.25">
      <c r="B47" s="238" t="s">
        <v>325</v>
      </c>
      <c r="C47" s="238"/>
      <c r="H47" s="132">
        <f>Results!B40</f>
        <v>174.20091324200914</v>
      </c>
      <c r="I47" s="133" t="s">
        <v>430</v>
      </c>
      <c r="L47" s="132">
        <f>Results!B41</f>
        <v>156.78082191780823</v>
      </c>
      <c r="M47" s="133" t="s">
        <v>430</v>
      </c>
      <c r="R47" s="132">
        <f>Results!B42</f>
        <v>96.887671232876727</v>
      </c>
      <c r="S47" s="133" t="s">
        <v>430</v>
      </c>
      <c r="V47" s="237"/>
      <c r="W47" s="237"/>
      <c r="X47" s="237"/>
    </row>
    <row r="48" spans="2:24" x14ac:dyDescent="0.25">
      <c r="B48" s="132">
        <f>Results!B7</f>
        <v>8020</v>
      </c>
      <c r="C48" s="133" t="s">
        <v>290</v>
      </c>
      <c r="H48" s="132">
        <f>Results!B8</f>
        <v>1526000</v>
      </c>
      <c r="I48" s="133" t="s">
        <v>100</v>
      </c>
      <c r="L48" s="132">
        <f>L47*8760</f>
        <v>1373400</v>
      </c>
      <c r="M48" s="133" t="s">
        <v>100</v>
      </c>
      <c r="R48" s="132">
        <f>Results!B43</f>
        <v>831761.28</v>
      </c>
      <c r="S48" s="133" t="s">
        <v>100</v>
      </c>
      <c r="W48" s="132">
        <f>Results!B80</f>
        <v>415880.64</v>
      </c>
      <c r="X48" s="133" t="s">
        <v>100</v>
      </c>
    </row>
    <row r="49" spans="8:24" x14ac:dyDescent="0.25">
      <c r="H49" s="137"/>
      <c r="I49" s="137"/>
    </row>
    <row r="50" spans="8:24" x14ac:dyDescent="0.25">
      <c r="H50" s="132"/>
      <c r="I50" s="133"/>
      <c r="T50" s="136">
        <f>W54/R48</f>
        <v>0.3</v>
      </c>
    </row>
    <row r="51" spans="8:24" ht="14.45" customHeight="1" x14ac:dyDescent="0.25">
      <c r="K51" s="135">
        <f>J55/H47</f>
        <v>9.9999999999999978E-2</v>
      </c>
      <c r="P51" s="136">
        <f>O55/L47</f>
        <v>0.38201834862385314</v>
      </c>
      <c r="W51" s="176"/>
      <c r="X51" s="176"/>
    </row>
    <row r="52" spans="8:24" x14ac:dyDescent="0.25">
      <c r="V52" s="237" t="s">
        <v>361</v>
      </c>
      <c r="W52" s="237"/>
      <c r="X52" s="237"/>
    </row>
    <row r="53" spans="8:24" x14ac:dyDescent="0.25">
      <c r="J53" s="238" t="s">
        <v>313</v>
      </c>
      <c r="K53" s="238"/>
      <c r="V53" s="237"/>
      <c r="W53" s="237"/>
      <c r="X53" s="237"/>
    </row>
    <row r="54" spans="8:24" ht="18" x14ac:dyDescent="0.35">
      <c r="J54" s="238" t="s">
        <v>312</v>
      </c>
      <c r="K54" s="238"/>
      <c r="O54" s="238" t="s">
        <v>324</v>
      </c>
      <c r="P54" s="238"/>
      <c r="W54" s="132">
        <f>Results!B99</f>
        <v>249528.38400000002</v>
      </c>
      <c r="X54" s="133" t="s">
        <v>100</v>
      </c>
    </row>
    <row r="55" spans="8:24" x14ac:dyDescent="0.25">
      <c r="J55" s="132">
        <f>Results!B40-Results!B41</f>
        <v>17.420091324200911</v>
      </c>
      <c r="K55" s="134" t="s">
        <v>430</v>
      </c>
      <c r="O55" s="132">
        <f>L47-R47</f>
        <v>59.893150684931499</v>
      </c>
      <c r="P55" s="133" t="s">
        <v>430</v>
      </c>
    </row>
    <row r="56" spans="8:24" x14ac:dyDescent="0.25">
      <c r="J56" s="132">
        <f>J55*8760</f>
        <v>152599.99999999997</v>
      </c>
      <c r="K56" s="134" t="s">
        <v>100</v>
      </c>
      <c r="O56" s="132">
        <f>L48-R48</f>
        <v>541638.72</v>
      </c>
      <c r="P56" s="133" t="s">
        <v>100</v>
      </c>
    </row>
  </sheetData>
  <sheetProtection algorithmName="SHA-512" hashValue="Umw67sG8FINVr0m0gfX+ldXra+1Xiidxh/z/AeBPGl5qew1YZ5BhYMge+X9SIyCJANMotjdecaFWtz9r8hURlQ==" saltValue="L3vT9IRyq7LH457N229HvQ==" spinCount="100000" sheet="1" objects="1" scenarios="1"/>
  <mergeCells count="12">
    <mergeCell ref="L46:M46"/>
    <mergeCell ref="B39:C39"/>
    <mergeCell ref="H46:I46"/>
    <mergeCell ref="J53:K53"/>
    <mergeCell ref="J54:K54"/>
    <mergeCell ref="B47:C47"/>
    <mergeCell ref="V40:X41"/>
    <mergeCell ref="V46:X47"/>
    <mergeCell ref="V52:X53"/>
    <mergeCell ref="R46:S46"/>
    <mergeCell ref="O54:P54"/>
    <mergeCell ref="N44:Q44"/>
  </mergeCells>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7</vt:i4>
      </vt:variant>
    </vt:vector>
  </HeadingPairs>
  <TitlesOfParts>
    <vt:vector size="7" baseType="lpstr">
      <vt:lpstr>Title</vt:lpstr>
      <vt:lpstr>Introduction</vt:lpstr>
      <vt:lpstr>Biogas yields</vt:lpstr>
      <vt:lpstr>Input data</vt:lpstr>
      <vt:lpstr>Operating numbers</vt:lpstr>
      <vt:lpstr>Results</vt:lpstr>
      <vt:lpstr>Graphics</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pnovakovits</dc:creator>
  <cp:lastModifiedBy>Tessens Sam</cp:lastModifiedBy>
  <dcterms:created xsi:type="dcterms:W3CDTF">2016-02-16T12:18:08Z</dcterms:created>
  <dcterms:modified xsi:type="dcterms:W3CDTF">2018-01-05T09:47:01Z</dcterms:modified>
</cp:coreProperties>
</file>